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showInkAnnotation="0" updateLinks="never" autoCompressPictures="0"/>
  <mc:AlternateContent xmlns:mc="http://schemas.openxmlformats.org/markup-compatibility/2006">
    <mc:Choice Requires="x15">
      <x15ac:absPath xmlns:x15ac="http://schemas.microsoft.com/office/spreadsheetml/2010/11/ac" url="D:\Work\Upwork\Aleks\Spreadsheet Formating\Milestone 7 &amp; 8_Slope Stability\"/>
    </mc:Choice>
  </mc:AlternateContent>
  <xr:revisionPtr revIDLastSave="0" documentId="13_ncr:1_{EAA78405-4B12-45BD-8114-0F8DAFBE2119}" xr6:coauthVersionLast="47" xr6:coauthVersionMax="47" xr10:uidLastSave="{00000000-0000-0000-0000-000000000000}"/>
  <bookViews>
    <workbookView xWindow="-120" yWindow="-120" windowWidth="29040" windowHeight="15720" xr2:uid="{00000000-000D-0000-FFFF-FFFF00000000}"/>
  </bookViews>
  <sheets>
    <sheet name="Input" sheetId="11" r:id="rId1"/>
    <sheet name="Conventional Method (DA1-C1)" sheetId="14" r:id="rId2"/>
    <sheet name="Conventional Method (DA1-C2)" sheetId="13" r:id="rId3"/>
    <sheet name="Routine Method (DA1-C1)" sheetId="16" r:id="rId4"/>
    <sheet name="Routine Method (DA1-C2)" sheetId="15" r:id="rId5"/>
  </sheets>
  <definedNames>
    <definedName name="B">Input!$F$21</definedName>
    <definedName name="Cohesion">Input!$F$31</definedName>
    <definedName name="gammaC" localSheetId="1">'Conventional Method (DA1-C1)'!$F$21</definedName>
    <definedName name="gammaC" localSheetId="2">'Conventional Method (DA1-C2)'!$F$21</definedName>
    <definedName name="gammaC" localSheetId="3">'Routine Method (DA1-C1)'!$F$21</definedName>
    <definedName name="gammaC" localSheetId="4">'Routine Method (DA1-C2)'!$F$21</definedName>
    <definedName name="gammaG" localSheetId="1">'Conventional Method (DA1-C1)'!$F$14</definedName>
    <definedName name="gammaG" localSheetId="2">'Conventional Method (DA1-C2)'!$F$14</definedName>
    <definedName name="gammaG" localSheetId="3">'Routine Method (DA1-C1)'!$F$14</definedName>
    <definedName name="gammaG" localSheetId="4">'Routine Method (DA1-C2)'!$F$14</definedName>
    <definedName name="gammaG.fav" localSheetId="1">'Conventional Method (DA1-C1)'!$F$17</definedName>
    <definedName name="gammaG.fav" localSheetId="2">'Conventional Method (DA1-C2)'!$F$17</definedName>
    <definedName name="gammaG.fav" localSheetId="3">'Routine Method (DA1-C1)'!$F$17</definedName>
    <definedName name="gammaG.fav" localSheetId="4">'Routine Method (DA1-C2)'!$F$17</definedName>
    <definedName name="gammagamma" localSheetId="1">'Conventional Method (DA1-C1)'!$F$22</definedName>
    <definedName name="gammagamma" localSheetId="2">'Conventional Method (DA1-C2)'!$F$22</definedName>
    <definedName name="gammagamma" localSheetId="3">'Routine Method (DA1-C1)'!$F$22</definedName>
    <definedName name="gammagamma" localSheetId="4">'Routine Method (DA1-C2)'!$F$22</definedName>
    <definedName name="gammaPhi" localSheetId="1">'Conventional Method (DA1-C1)'!$F$20</definedName>
    <definedName name="gammaPhi" localSheetId="2">'Conventional Method (DA1-C2)'!$F$20</definedName>
    <definedName name="gammaPhi" localSheetId="3">'Routine Method (DA1-C1)'!$F$20</definedName>
    <definedName name="gammaPhi" localSheetId="4">'Routine Method (DA1-C2)'!$F$20</definedName>
    <definedName name="gammaQ" localSheetId="1">'Conventional Method (DA1-C1)'!$F$15</definedName>
    <definedName name="gammaQ" localSheetId="2">'Conventional Method (DA1-C2)'!$F$15</definedName>
    <definedName name="gammaQ" localSheetId="3">'Routine Method (DA1-C1)'!$F$15</definedName>
    <definedName name="gammaQ" localSheetId="4">'Routine Method (DA1-C2)'!$F$15</definedName>
    <definedName name="gammaQ.fav" localSheetId="1">'Conventional Method (DA1-C1)'!$F$18</definedName>
    <definedName name="gammaQ.fav" localSheetId="2">'Conventional Method (DA1-C2)'!$F$18</definedName>
    <definedName name="gammaQ.fav" localSheetId="3">'Routine Method (DA1-C1)'!$F$18</definedName>
    <definedName name="gammaQ.fav" localSheetId="4">'Routine Method (DA1-C2)'!$F$18</definedName>
    <definedName name="gammasoil">Input!$F$32</definedName>
    <definedName name="H">Input!$F$20</definedName>
    <definedName name="Hc">Input!$F$26</definedName>
    <definedName name="Phi">Input!$F$30</definedName>
    <definedName name="Radius">Input!$F$22</definedName>
    <definedName name="Vc">Input!$F$25</definedName>
    <definedName name="Xc">Input!$F$37</definedName>
    <definedName name="Xcrest">Input!$F$36</definedName>
    <definedName name="Yc">Input!$F$38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6" i="11" l="1"/>
  <c r="F39" i="11"/>
  <c r="J43" i="11"/>
  <c r="J44" i="11"/>
  <c r="J45" i="11"/>
  <c r="J46" i="11"/>
  <c r="J42" i="11"/>
  <c r="D42" i="11"/>
  <c r="D43" i="11"/>
  <c r="D44" i="11"/>
  <c r="D45" i="11"/>
  <c r="D46" i="11"/>
  <c r="F36" i="11"/>
  <c r="F35" i="11"/>
  <c r="C42" i="11"/>
  <c r="C43" i="11"/>
  <c r="C44" i="11"/>
  <c r="C45" i="11"/>
  <c r="C46" i="11"/>
  <c r="F29" i="15"/>
  <c r="C34" i="15"/>
  <c r="C35" i="15"/>
  <c r="C36" i="15"/>
  <c r="C37" i="15"/>
  <c r="C38" i="15"/>
  <c r="F30" i="15"/>
  <c r="F38" i="11"/>
  <c r="F37" i="11"/>
  <c r="E42" i="11"/>
  <c r="F42" i="11"/>
  <c r="D34" i="15"/>
  <c r="G42" i="11"/>
  <c r="H42" i="11"/>
  <c r="E43" i="11"/>
  <c r="E44" i="11"/>
  <c r="E45" i="11"/>
  <c r="E46" i="11"/>
  <c r="K42" i="11"/>
  <c r="F34" i="15"/>
  <c r="G34" i="15"/>
  <c r="F28" i="15"/>
  <c r="H34" i="15"/>
  <c r="I42" i="11"/>
  <c r="B43" i="15"/>
  <c r="G43" i="15"/>
  <c r="F43" i="11"/>
  <c r="D35" i="15"/>
  <c r="G43" i="11"/>
  <c r="H43" i="11"/>
  <c r="K43" i="11"/>
  <c r="F35" i="15"/>
  <c r="G35" i="15"/>
  <c r="H35" i="15"/>
  <c r="I43" i="11"/>
  <c r="B44" i="15"/>
  <c r="G44" i="15"/>
  <c r="F44" i="11"/>
  <c r="D36" i="15"/>
  <c r="G44" i="11"/>
  <c r="H44" i="11"/>
  <c r="K44" i="11"/>
  <c r="F36" i="15"/>
  <c r="G36" i="15"/>
  <c r="H36" i="15"/>
  <c r="I44" i="11"/>
  <c r="B45" i="15"/>
  <c r="G45" i="15"/>
  <c r="F45" i="11"/>
  <c r="D37" i="15"/>
  <c r="G45" i="11"/>
  <c r="H45" i="11"/>
  <c r="K45" i="11"/>
  <c r="F37" i="15"/>
  <c r="G37" i="15"/>
  <c r="H37" i="15"/>
  <c r="I45" i="11"/>
  <c r="B46" i="15"/>
  <c r="G46" i="15"/>
  <c r="F46" i="11"/>
  <c r="D38" i="15"/>
  <c r="H46" i="11"/>
  <c r="K46" i="11"/>
  <c r="F38" i="15"/>
  <c r="G38" i="15"/>
  <c r="H38" i="15"/>
  <c r="I46" i="11"/>
  <c r="B47" i="15"/>
  <c r="G47" i="15"/>
  <c r="G48" i="15"/>
  <c r="E34" i="15"/>
  <c r="E35" i="15"/>
  <c r="E36" i="15"/>
  <c r="E37" i="15"/>
  <c r="E38" i="15"/>
  <c r="E39" i="15"/>
  <c r="C43" i="15"/>
  <c r="H43" i="15"/>
  <c r="C44" i="15"/>
  <c r="H44" i="15"/>
  <c r="C45" i="15"/>
  <c r="H45" i="15"/>
  <c r="C46" i="15"/>
  <c r="H46" i="15"/>
  <c r="C47" i="15"/>
  <c r="H47" i="15"/>
  <c r="H48" i="15"/>
  <c r="D43" i="15"/>
  <c r="I43" i="15"/>
  <c r="D44" i="15"/>
  <c r="I44" i="15"/>
  <c r="D45" i="15"/>
  <c r="I45" i="15"/>
  <c r="D46" i="15"/>
  <c r="I46" i="15"/>
  <c r="D47" i="15"/>
  <c r="I47" i="15"/>
  <c r="I48" i="15"/>
  <c r="E43" i="15"/>
  <c r="J43" i="15"/>
  <c r="E44" i="15"/>
  <c r="J44" i="15"/>
  <c r="E45" i="15"/>
  <c r="J45" i="15"/>
  <c r="E46" i="15"/>
  <c r="J46" i="15"/>
  <c r="E47" i="15"/>
  <c r="J47" i="15"/>
  <c r="J48" i="15"/>
  <c r="F43" i="15"/>
  <c r="K43" i="15"/>
  <c r="F44" i="15"/>
  <c r="K44" i="15"/>
  <c r="F45" i="15"/>
  <c r="K45" i="15"/>
  <c r="F46" i="15"/>
  <c r="K46" i="15"/>
  <c r="F47" i="15"/>
  <c r="K47" i="15"/>
  <c r="K48" i="15"/>
  <c r="C49" i="15"/>
  <c r="D49" i="15"/>
  <c r="G67" i="11"/>
  <c r="F29" i="16"/>
  <c r="C34" i="16"/>
  <c r="C35" i="16"/>
  <c r="C36" i="16"/>
  <c r="C37" i="16"/>
  <c r="C38" i="16"/>
  <c r="F30" i="16"/>
  <c r="D34" i="16"/>
  <c r="F34" i="16"/>
  <c r="G34" i="16"/>
  <c r="F28" i="16"/>
  <c r="H34" i="16"/>
  <c r="B43" i="16"/>
  <c r="G43" i="16"/>
  <c r="D35" i="16"/>
  <c r="F35" i="16"/>
  <c r="G35" i="16"/>
  <c r="H35" i="16"/>
  <c r="B44" i="16"/>
  <c r="G44" i="16"/>
  <c r="D36" i="16"/>
  <c r="F36" i="16"/>
  <c r="G36" i="16"/>
  <c r="H36" i="16"/>
  <c r="B45" i="16"/>
  <c r="G45" i="16"/>
  <c r="D37" i="16"/>
  <c r="F37" i="16"/>
  <c r="G37" i="16"/>
  <c r="H37" i="16"/>
  <c r="B46" i="16"/>
  <c r="G46" i="16"/>
  <c r="D38" i="16"/>
  <c r="F38" i="16"/>
  <c r="G38" i="16"/>
  <c r="H38" i="16"/>
  <c r="B47" i="16"/>
  <c r="G47" i="16"/>
  <c r="G48" i="16"/>
  <c r="E34" i="16"/>
  <c r="E35" i="16"/>
  <c r="E36" i="16"/>
  <c r="E37" i="16"/>
  <c r="E38" i="16"/>
  <c r="E39" i="16"/>
  <c r="C43" i="16"/>
  <c r="H43" i="16"/>
  <c r="C44" i="16"/>
  <c r="H44" i="16"/>
  <c r="C45" i="16"/>
  <c r="H45" i="16"/>
  <c r="C46" i="16"/>
  <c r="H46" i="16"/>
  <c r="C47" i="16"/>
  <c r="H47" i="16"/>
  <c r="H48" i="16"/>
  <c r="D43" i="16"/>
  <c r="I43" i="16"/>
  <c r="D44" i="16"/>
  <c r="I44" i="16"/>
  <c r="D45" i="16"/>
  <c r="I45" i="16"/>
  <c r="D46" i="16"/>
  <c r="I46" i="16"/>
  <c r="D47" i="16"/>
  <c r="I47" i="16"/>
  <c r="I48" i="16"/>
  <c r="E43" i="16"/>
  <c r="J43" i="16"/>
  <c r="E44" i="16"/>
  <c r="J44" i="16"/>
  <c r="E45" i="16"/>
  <c r="J45" i="16"/>
  <c r="E46" i="16"/>
  <c r="J46" i="16"/>
  <c r="E47" i="16"/>
  <c r="J47" i="16"/>
  <c r="J48" i="16"/>
  <c r="F43" i="16"/>
  <c r="K43" i="16"/>
  <c r="F44" i="16"/>
  <c r="K44" i="16"/>
  <c r="F45" i="16"/>
  <c r="K45" i="16"/>
  <c r="F46" i="16"/>
  <c r="K46" i="16"/>
  <c r="F47" i="16"/>
  <c r="K47" i="16"/>
  <c r="K48" i="16"/>
  <c r="C49" i="16"/>
  <c r="D49" i="16"/>
  <c r="G64" i="11"/>
  <c r="F26" i="13"/>
  <c r="B31" i="13"/>
  <c r="B32" i="13"/>
  <c r="B33" i="13"/>
  <c r="B34" i="13"/>
  <c r="B35" i="13"/>
  <c r="F27" i="13"/>
  <c r="C31" i="13"/>
  <c r="E31" i="13"/>
  <c r="F31" i="13"/>
  <c r="F25" i="13"/>
  <c r="G31" i="13"/>
  <c r="H31" i="13"/>
  <c r="I31" i="13"/>
  <c r="C32" i="13"/>
  <c r="E32" i="13"/>
  <c r="F32" i="13"/>
  <c r="G32" i="13"/>
  <c r="H32" i="13"/>
  <c r="I32" i="13"/>
  <c r="C33" i="13"/>
  <c r="E33" i="13"/>
  <c r="F33" i="13"/>
  <c r="G33" i="13"/>
  <c r="H33" i="13"/>
  <c r="I33" i="13"/>
  <c r="C34" i="13"/>
  <c r="E34" i="13"/>
  <c r="F34" i="13"/>
  <c r="G34" i="13"/>
  <c r="H34" i="13"/>
  <c r="I34" i="13"/>
  <c r="C35" i="13"/>
  <c r="E35" i="13"/>
  <c r="F35" i="13"/>
  <c r="G35" i="13"/>
  <c r="H35" i="13"/>
  <c r="I35" i="13"/>
  <c r="I36" i="13"/>
  <c r="D31" i="13"/>
  <c r="D32" i="13"/>
  <c r="D33" i="13"/>
  <c r="D34" i="13"/>
  <c r="D35" i="13"/>
  <c r="D36" i="13"/>
  <c r="C38" i="13"/>
  <c r="D38" i="13"/>
  <c r="G58" i="11"/>
  <c r="F26" i="14"/>
  <c r="B31" i="14"/>
  <c r="B32" i="14"/>
  <c r="B33" i="14"/>
  <c r="B34" i="14"/>
  <c r="B35" i="14"/>
  <c r="F27" i="14"/>
  <c r="C31" i="14"/>
  <c r="E31" i="14"/>
  <c r="F31" i="14"/>
  <c r="F25" i="14"/>
  <c r="G31" i="14"/>
  <c r="H31" i="14"/>
  <c r="I31" i="14"/>
  <c r="C32" i="14"/>
  <c r="E32" i="14"/>
  <c r="F32" i="14"/>
  <c r="G32" i="14"/>
  <c r="H32" i="14"/>
  <c r="I32" i="14"/>
  <c r="C33" i="14"/>
  <c r="E33" i="14"/>
  <c r="F33" i="14"/>
  <c r="G33" i="14"/>
  <c r="H33" i="14"/>
  <c r="I33" i="14"/>
  <c r="C34" i="14"/>
  <c r="E34" i="14"/>
  <c r="F34" i="14"/>
  <c r="G34" i="14"/>
  <c r="H34" i="14"/>
  <c r="I34" i="14"/>
  <c r="C35" i="14"/>
  <c r="E35" i="14"/>
  <c r="F35" i="14"/>
  <c r="G35" i="14"/>
  <c r="H35" i="14"/>
  <c r="I35" i="14"/>
  <c r="I36" i="14"/>
  <c r="D31" i="14"/>
  <c r="D32" i="14"/>
  <c r="D33" i="14"/>
  <c r="D34" i="14"/>
  <c r="D35" i="14"/>
  <c r="D36" i="14"/>
  <c r="C38" i="14"/>
  <c r="D38" i="14"/>
  <c r="G55" i="11"/>
  <c r="F67" i="11"/>
  <c r="F64" i="11"/>
  <c r="F58" i="11"/>
  <c r="F55" i="11"/>
  <c r="B47" i="11"/>
  <c r="F6" i="13"/>
  <c r="F6" i="16"/>
  <c r="F6" i="15"/>
  <c r="F6" i="14"/>
  <c r="I6" i="13"/>
  <c r="I6" i="16"/>
  <c r="I6" i="15"/>
  <c r="I6" i="14"/>
  <c r="J2" i="13"/>
  <c r="J2" i="16"/>
  <c r="J2" i="15"/>
  <c r="J2" i="14"/>
  <c r="D2" i="13"/>
  <c r="D2" i="16"/>
  <c r="D2" i="15"/>
  <c r="D2" i="14"/>
  <c r="D4" i="13"/>
  <c r="D4" i="16"/>
  <c r="D4" i="15"/>
  <c r="D4" i="14"/>
  <c r="D6" i="13"/>
  <c r="D6" i="16"/>
  <c r="D6" i="15"/>
  <c r="D6" i="14"/>
  <c r="A47" i="16"/>
  <c r="A46" i="16"/>
  <c r="A45" i="16"/>
  <c r="A44" i="16"/>
  <c r="A43" i="16"/>
  <c r="F41" i="16"/>
  <c r="K41" i="16"/>
  <c r="E41" i="16"/>
  <c r="J41" i="16"/>
  <c r="D41" i="16"/>
  <c r="I41" i="16"/>
  <c r="C41" i="16"/>
  <c r="H41" i="16"/>
  <c r="B41" i="16"/>
  <c r="G41" i="16"/>
  <c r="K6" i="16"/>
  <c r="H6" i="16"/>
  <c r="F41" i="15"/>
  <c r="E41" i="15"/>
  <c r="D41" i="15"/>
  <c r="C41" i="15"/>
  <c r="B41" i="15"/>
  <c r="A44" i="15"/>
  <c r="A45" i="15"/>
  <c r="A46" i="15"/>
  <c r="A47" i="15"/>
  <c r="A43" i="15"/>
  <c r="H41" i="15"/>
  <c r="I41" i="15"/>
  <c r="J41" i="15"/>
  <c r="K41" i="15"/>
  <c r="G41" i="15"/>
  <c r="K6" i="15"/>
  <c r="H6" i="15"/>
  <c r="K6" i="14"/>
  <c r="H6" i="14"/>
  <c r="K6" i="13"/>
  <c r="H6" i="13"/>
  <c r="K6" i="11"/>
  <c r="H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Aminul Islam</author>
  </authors>
  <commentList>
    <comment ref="F36" authorId="0" shapeId="0" xr:uid="{DBAE4911-0905-4CC9-8626-8AA9533C1499}">
      <text>
        <r>
          <rPr>
            <sz val="9"/>
            <color indexed="81"/>
            <rFont val="Tahoma"/>
            <family val="2"/>
          </rPr>
          <t>Horizontal distance where the slope ends and the road begins</t>
        </r>
      </text>
    </comment>
    <comment ref="F37" authorId="0" shapeId="0" xr:uid="{1B5D6C31-7210-4E07-B2CC-406AE9D89DCA}">
      <text>
        <r>
          <rPr>
            <sz val="9"/>
            <color indexed="81"/>
            <rFont val="Tahoma"/>
            <family val="2"/>
          </rPr>
          <t>User may define the coordinate</t>
        </r>
      </text>
    </comment>
    <comment ref="F38" authorId="0" shapeId="0" xr:uid="{4738154A-C082-488D-A034-98CE608DCD68}">
      <text>
        <r>
          <rPr>
            <sz val="9"/>
            <color indexed="81"/>
            <rFont val="Tahoma"/>
            <family val="2"/>
          </rPr>
          <t>User may define the coordinate</t>
        </r>
      </text>
    </comment>
  </commentList>
</comments>
</file>

<file path=xl/sharedStrings.xml><?xml version="1.0" encoding="utf-8"?>
<sst xmlns="http://schemas.openxmlformats.org/spreadsheetml/2006/main" count="335" uniqueCount="106">
  <si>
    <t>Angle of shearing resistance</t>
  </si>
  <si>
    <t>º</t>
  </si>
  <si>
    <t xml:space="preserve">Project:
</t>
  </si>
  <si>
    <t xml:space="preserve">Job Ref:
</t>
  </si>
  <si>
    <t>Example Project</t>
  </si>
  <si>
    <t>Eample Job No.</t>
  </si>
  <si>
    <t xml:space="preserve">Structure:
</t>
  </si>
  <si>
    <t>Sheet No/Rev:</t>
  </si>
  <si>
    <t>Phicon Ltd | Pentire House | 9 Beach Rd | Newquay | TR7 1ES</t>
  </si>
  <si>
    <t>Example Structure</t>
  </si>
  <si>
    <t xml:space="preserve">Client:
</t>
  </si>
  <si>
    <t xml:space="preserve">Calc by:
</t>
  </si>
  <si>
    <t>Date</t>
  </si>
  <si>
    <t>Check by:</t>
  </si>
  <si>
    <t>Example Client</t>
  </si>
  <si>
    <t>Example Engineer</t>
  </si>
  <si>
    <t>Example Checker</t>
  </si>
  <si>
    <t>REF</t>
  </si>
  <si>
    <t>CALCULATION</t>
  </si>
  <si>
    <t>OUTPUT</t>
  </si>
  <si>
    <r>
      <t>γ</t>
    </r>
    <r>
      <rPr>
        <vertAlign val="subscript"/>
        <sz val="10"/>
        <rFont val="Arial"/>
        <family val="2"/>
      </rPr>
      <t>soil</t>
    </r>
    <r>
      <rPr>
        <sz val="10"/>
        <rFont val="Arial"/>
        <family val="2"/>
      </rPr>
      <t xml:space="preserve"> =</t>
    </r>
  </si>
  <si>
    <r>
      <t>kN/m</t>
    </r>
    <r>
      <rPr>
        <vertAlign val="superscript"/>
        <sz val="10"/>
        <rFont val="Arial"/>
        <family val="2"/>
      </rPr>
      <t>3</t>
    </r>
  </si>
  <si>
    <t>2. Design material properties:</t>
  </si>
  <si>
    <r>
      <rPr>
        <sz val="10"/>
        <color rgb="FF000000"/>
        <rFont val="Calibri"/>
        <family val="2"/>
        <scheme val="minor"/>
      </rPr>
      <t>γ</t>
    </r>
    <r>
      <rPr>
        <vertAlign val="subscript"/>
        <sz val="10"/>
        <color rgb="FF000000"/>
        <rFont val="Calibri"/>
        <family val="2"/>
        <scheme val="minor"/>
      </rPr>
      <t xml:space="preserve">φ </t>
    </r>
    <r>
      <rPr>
        <sz val="10"/>
        <color rgb="FF000000"/>
        <rFont val="Calibri"/>
        <family val="2"/>
        <scheme val="minor"/>
      </rPr>
      <t>=</t>
    </r>
  </si>
  <si>
    <t>1. Data Input</t>
  </si>
  <si>
    <t>Weight density of soil</t>
  </si>
  <si>
    <r>
      <rPr>
        <sz val="10"/>
        <color rgb="FF000000"/>
        <rFont val="Calibri"/>
        <family val="2"/>
        <scheme val="minor"/>
      </rPr>
      <t>γ</t>
    </r>
    <r>
      <rPr>
        <vertAlign val="subscript"/>
        <sz val="10"/>
        <color rgb="FF000000"/>
        <rFont val="Calibri"/>
        <family val="2"/>
        <scheme val="minor"/>
      </rPr>
      <t xml:space="preserve">γ </t>
    </r>
    <r>
      <rPr>
        <sz val="10"/>
        <color rgb="FF000000"/>
        <rFont val="Calibri"/>
        <family val="2"/>
        <scheme val="minor"/>
      </rPr>
      <t>=</t>
    </r>
  </si>
  <si>
    <t>Wall height</t>
  </si>
  <si>
    <t>H =</t>
  </si>
  <si>
    <t>Wall width</t>
  </si>
  <si>
    <t>B =</t>
  </si>
  <si>
    <t>m</t>
  </si>
  <si>
    <t>Radius of the critical slip circle</t>
  </si>
  <si>
    <t>R =</t>
  </si>
  <si>
    <t>Effective Cohesion</t>
  </si>
  <si>
    <t>C' =</t>
  </si>
  <si>
    <t>kPa</t>
  </si>
  <si>
    <t>2. Initial Calculation</t>
  </si>
  <si>
    <r>
      <t>Y</t>
    </r>
    <r>
      <rPr>
        <vertAlign val="subscript"/>
        <sz val="10"/>
        <rFont val="Arial"/>
        <family val="2"/>
      </rPr>
      <t>c</t>
    </r>
    <r>
      <rPr>
        <sz val="10"/>
        <rFont val="Arial"/>
        <family val="2"/>
      </rPr>
      <t xml:space="preserve"> =</t>
    </r>
  </si>
  <si>
    <r>
      <t>X</t>
    </r>
    <r>
      <rPr>
        <vertAlign val="subscript"/>
        <sz val="10"/>
        <rFont val="Arial"/>
        <family val="2"/>
      </rPr>
      <t>c</t>
    </r>
    <r>
      <rPr>
        <sz val="10"/>
        <rFont val="Arial"/>
        <family val="2"/>
      </rPr>
      <t xml:space="preserve"> =</t>
    </r>
  </si>
  <si>
    <t>Thickness of the soil mass, z (m)</t>
  </si>
  <si>
    <t>Design Approach 1, Combination 1</t>
  </si>
  <si>
    <t>1. Partial factors</t>
  </si>
  <si>
    <t>On unfavourable actions/action effects for GEO (Bearing/Sliding) calculation</t>
  </si>
  <si>
    <t>Permanent actions</t>
  </si>
  <si>
    <r>
      <rPr>
        <sz val="10"/>
        <color rgb="FF000000"/>
        <rFont val="Calibri"/>
        <family val="2"/>
        <scheme val="minor"/>
      </rPr>
      <t>γ</t>
    </r>
    <r>
      <rPr>
        <vertAlign val="subscript"/>
        <sz val="10"/>
        <color rgb="FF000000"/>
        <rFont val="Calibri"/>
        <family val="2"/>
        <scheme val="minor"/>
      </rPr>
      <t xml:space="preserve">G </t>
    </r>
    <r>
      <rPr>
        <sz val="10"/>
        <color rgb="FF000000"/>
        <rFont val="Calibri"/>
        <family val="2"/>
        <scheme val="minor"/>
      </rPr>
      <t>=</t>
    </r>
  </si>
  <si>
    <t>Variable actions</t>
  </si>
  <si>
    <r>
      <rPr>
        <sz val="10"/>
        <color rgb="FF000000"/>
        <rFont val="Calibri"/>
        <family val="2"/>
        <scheme val="minor"/>
      </rPr>
      <t>γ</t>
    </r>
    <r>
      <rPr>
        <vertAlign val="subscript"/>
        <sz val="10"/>
        <color rgb="FF000000"/>
        <rFont val="Calibri"/>
        <family val="2"/>
        <scheme val="minor"/>
      </rPr>
      <t xml:space="preserve">Q </t>
    </r>
    <r>
      <rPr>
        <sz val="10"/>
        <color rgb="FF000000"/>
        <rFont val="Calibri"/>
        <family val="2"/>
        <scheme val="minor"/>
      </rPr>
      <t>=</t>
    </r>
  </si>
  <si>
    <t>On favourable actions/action effects for GEO (Bearing/Sliding) calculation</t>
  </si>
  <si>
    <r>
      <rPr>
        <sz val="10"/>
        <color rgb="FF000000"/>
        <rFont val="Calibri"/>
        <family val="2"/>
        <scheme val="minor"/>
      </rPr>
      <t>γ</t>
    </r>
    <r>
      <rPr>
        <vertAlign val="subscript"/>
        <sz val="10"/>
        <color rgb="FF000000"/>
        <rFont val="Calibri"/>
        <family val="2"/>
        <scheme val="minor"/>
      </rPr>
      <t xml:space="preserve">G.fav </t>
    </r>
    <r>
      <rPr>
        <sz val="10"/>
        <color rgb="FF000000"/>
        <rFont val="Calibri"/>
        <family val="2"/>
        <scheme val="minor"/>
      </rPr>
      <t>=</t>
    </r>
  </si>
  <si>
    <r>
      <rPr>
        <sz val="10"/>
        <color rgb="FF000000"/>
        <rFont val="Calibri"/>
        <family val="2"/>
        <scheme val="minor"/>
      </rPr>
      <t>γ</t>
    </r>
    <r>
      <rPr>
        <vertAlign val="subscript"/>
        <sz val="10"/>
        <color rgb="FF000000"/>
        <rFont val="Calibri"/>
        <family val="2"/>
        <scheme val="minor"/>
      </rPr>
      <t xml:space="preserve">Q.fav </t>
    </r>
    <r>
      <rPr>
        <sz val="10"/>
        <color rgb="FF000000"/>
        <rFont val="Calibri"/>
        <family val="2"/>
        <scheme val="minor"/>
      </rPr>
      <t>=</t>
    </r>
  </si>
  <si>
    <t>On material properties/resistances</t>
  </si>
  <si>
    <t>Coefficient of shearing resistance</t>
  </si>
  <si>
    <t>Effective cohesion</t>
  </si>
  <si>
    <r>
      <rPr>
        <sz val="10"/>
        <color rgb="FF000000"/>
        <rFont val="Calibri"/>
        <family val="2"/>
        <scheme val="minor"/>
      </rPr>
      <t>γ</t>
    </r>
    <r>
      <rPr>
        <vertAlign val="subscript"/>
        <sz val="10"/>
        <color rgb="FF000000"/>
        <rFont val="Calibri"/>
        <family val="2"/>
        <scheme val="minor"/>
      </rPr>
      <t xml:space="preserve">c </t>
    </r>
    <r>
      <rPr>
        <sz val="10"/>
        <color rgb="FF000000"/>
        <rFont val="Calibri"/>
        <family val="2"/>
        <scheme val="minor"/>
      </rPr>
      <t>=</t>
    </r>
  </si>
  <si>
    <t>Design Approach 1, Combination 2</t>
  </si>
  <si>
    <t>Slope Stability Assessment - Conventional Method</t>
  </si>
  <si>
    <t>Water height above base</t>
  </si>
  <si>
    <r>
      <t>H</t>
    </r>
    <r>
      <rPr>
        <vertAlign val="subscript"/>
        <sz val="10"/>
        <rFont val="Arial"/>
        <family val="2"/>
      </rPr>
      <t>w</t>
    </r>
    <r>
      <rPr>
        <sz val="10"/>
        <rFont val="Arial"/>
        <family val="2"/>
      </rPr>
      <t xml:space="preserve"> =</t>
    </r>
  </si>
  <si>
    <r>
      <t>Y</t>
    </r>
    <r>
      <rPr>
        <vertAlign val="subscript"/>
        <sz val="10"/>
        <rFont val="Arial"/>
        <family val="2"/>
      </rPr>
      <t>water</t>
    </r>
    <r>
      <rPr>
        <sz val="10"/>
        <rFont val="Arial"/>
        <family val="2"/>
      </rPr>
      <t xml:space="preserve"> =</t>
    </r>
  </si>
  <si>
    <t>Total =</t>
  </si>
  <si>
    <t>m (Conventional Denomator)</t>
  </si>
  <si>
    <t>Factor of safety =</t>
  </si>
  <si>
    <t>Angle of the slice base from the horizontal, α (Degree)</t>
  </si>
  <si>
    <t>Slice No.</t>
  </si>
  <si>
    <t>X-coordinate of the center of the slip surface</t>
  </si>
  <si>
    <t>Y-coordinate of the center of the slip surface</t>
  </si>
  <si>
    <t>Center coordinate assumption for slip circle</t>
  </si>
  <si>
    <t>Slope Stability Assessment - Routine (Iterative) Method</t>
  </si>
  <si>
    <r>
      <t>F</t>
    </r>
    <r>
      <rPr>
        <vertAlign val="subscript"/>
        <sz val="10"/>
        <rFont val="Arial"/>
        <family val="2"/>
      </rPr>
      <t>1</t>
    </r>
    <r>
      <rPr>
        <sz val="10"/>
        <rFont val="Arial"/>
        <family val="2"/>
      </rPr>
      <t xml:space="preserve"> =</t>
    </r>
  </si>
  <si>
    <t>First trial safety factor</t>
  </si>
  <si>
    <t>FoS =</t>
  </si>
  <si>
    <t>SLOPE STABILITY: SIMPLIFIED BISHOP'S METHOD ACCORDING TO EUROCODE 7 (EN 1997-1)</t>
  </si>
  <si>
    <t>F1 =</t>
  </si>
  <si>
    <t>Phreatic surface elevation</t>
  </si>
  <si>
    <t>φ' =</t>
  </si>
  <si>
    <t>A. Wall geometry</t>
  </si>
  <si>
    <t>B. Design material properties:</t>
  </si>
  <si>
    <t>Cosα</t>
  </si>
  <si>
    <t>Sinα</t>
  </si>
  <si>
    <t>2. Result Summary</t>
  </si>
  <si>
    <t>3. Analysis</t>
  </si>
  <si>
    <r>
      <t>Horizontal position of the slice center, x</t>
    </r>
    <r>
      <rPr>
        <vertAlign val="subscript"/>
        <sz val="9"/>
        <rFont val="Arial"/>
        <family val="2"/>
      </rPr>
      <t>i</t>
    </r>
    <r>
      <rPr>
        <sz val="9"/>
        <rFont val="Arial"/>
        <family val="2"/>
      </rPr>
      <t xml:space="preserve"> (m)</t>
    </r>
  </si>
  <si>
    <r>
      <t>Ground Surface Elevation, y</t>
    </r>
    <r>
      <rPr>
        <vertAlign val="subscript"/>
        <sz val="9"/>
        <rFont val="Arial"/>
        <family val="2"/>
      </rPr>
      <t xml:space="preserve">ground,i </t>
    </r>
    <r>
      <rPr>
        <sz val="9"/>
        <rFont val="Arial"/>
        <family val="2"/>
      </rPr>
      <t>(m)</t>
    </r>
  </si>
  <si>
    <r>
      <t>Slice Base Elevation, y</t>
    </r>
    <r>
      <rPr>
        <vertAlign val="subscript"/>
        <sz val="9"/>
        <rFont val="Arial"/>
        <family val="2"/>
      </rPr>
      <t xml:space="preserve">base,i </t>
    </r>
    <r>
      <rPr>
        <sz val="9"/>
        <rFont val="Arial"/>
        <family val="2"/>
      </rPr>
      <t>(m)</t>
    </r>
  </si>
  <si>
    <r>
      <t>Water height, h</t>
    </r>
    <r>
      <rPr>
        <vertAlign val="subscript"/>
        <sz val="9"/>
        <rFont val="Arial"/>
        <family val="2"/>
      </rPr>
      <t>w,i</t>
    </r>
    <r>
      <rPr>
        <sz val="9"/>
        <rFont val="Arial"/>
        <family val="2"/>
      </rPr>
      <t xml:space="preserve"> (m)</t>
    </r>
  </si>
  <si>
    <r>
      <t>Pore Pressure, u</t>
    </r>
    <r>
      <rPr>
        <vertAlign val="subscript"/>
        <sz val="9"/>
        <rFont val="Arial"/>
        <family val="2"/>
      </rPr>
      <t>i</t>
    </r>
    <r>
      <rPr>
        <sz val="9"/>
        <rFont val="Arial"/>
        <family val="2"/>
      </rPr>
      <t xml:space="preserve"> (kPa)</t>
    </r>
  </si>
  <si>
    <r>
      <t>Slice Weight, W</t>
    </r>
    <r>
      <rPr>
        <vertAlign val="subscript"/>
        <sz val="9"/>
        <rFont val="Arial"/>
        <family val="2"/>
      </rPr>
      <t>d</t>
    </r>
    <r>
      <rPr>
        <sz val="9"/>
        <rFont val="Arial"/>
        <family val="2"/>
      </rPr>
      <t xml:space="preserve"> (kN/m)</t>
    </r>
  </si>
  <si>
    <r>
      <t>Driving force, E</t>
    </r>
    <r>
      <rPr>
        <vertAlign val="subscript"/>
        <sz val="9"/>
        <rFont val="Arial"/>
        <family val="2"/>
      </rPr>
      <t xml:space="preserve">d </t>
    </r>
    <r>
      <rPr>
        <sz val="9"/>
        <rFont val="Arial"/>
        <family val="2"/>
      </rPr>
      <t>Sinα (kN/m)</t>
    </r>
  </si>
  <si>
    <r>
      <t>Uplift Force, U</t>
    </r>
    <r>
      <rPr>
        <vertAlign val="subscript"/>
        <sz val="9"/>
        <rFont val="Arial"/>
        <family val="2"/>
      </rPr>
      <t>d</t>
    </r>
    <r>
      <rPr>
        <sz val="9"/>
        <rFont val="Arial"/>
        <family val="2"/>
      </rPr>
      <t xml:space="preserve"> (kN/m)</t>
    </r>
  </si>
  <si>
    <r>
      <t>Effective Normal Force, W</t>
    </r>
    <r>
      <rPr>
        <vertAlign val="subscript"/>
        <sz val="9"/>
        <rFont val="Arial"/>
        <family val="2"/>
      </rPr>
      <t xml:space="preserve">d </t>
    </r>
    <r>
      <rPr>
        <sz val="9"/>
        <rFont val="Arial"/>
        <family val="2"/>
      </rPr>
      <t>Cosα -U</t>
    </r>
    <r>
      <rPr>
        <vertAlign val="subscript"/>
        <sz val="9"/>
        <rFont val="Arial"/>
        <family val="2"/>
      </rPr>
      <t>d</t>
    </r>
    <r>
      <rPr>
        <sz val="9"/>
        <rFont val="Arial"/>
        <family val="2"/>
      </rPr>
      <t xml:space="preserve"> (kN/m)</t>
    </r>
  </si>
  <si>
    <r>
      <t>Resisting shear, N</t>
    </r>
    <r>
      <rPr>
        <vertAlign val="subscript"/>
        <sz val="9"/>
        <rFont val="Arial"/>
        <family val="2"/>
      </rPr>
      <t>res</t>
    </r>
    <r>
      <rPr>
        <sz val="9"/>
        <rFont val="Arial"/>
        <family val="2"/>
      </rPr>
      <t xml:space="preserve"> (kN/m)</t>
    </r>
  </si>
  <si>
    <r>
      <t>Resisting term, N</t>
    </r>
    <r>
      <rPr>
        <vertAlign val="subscript"/>
        <sz val="9"/>
        <rFont val="Arial"/>
        <family val="2"/>
      </rPr>
      <t>res</t>
    </r>
    <r>
      <rPr>
        <sz val="9"/>
        <rFont val="Arial"/>
        <family val="2"/>
      </rPr>
      <t>/m (kN/m)</t>
    </r>
  </si>
  <si>
    <r>
      <t>m</t>
    </r>
    <r>
      <rPr>
        <vertAlign val="subscript"/>
        <sz val="9"/>
        <rFont val="Calibri"/>
        <family val="2"/>
      </rPr>
      <t>α</t>
    </r>
    <r>
      <rPr>
        <sz val="9"/>
        <rFont val="Arial"/>
        <family val="2"/>
      </rPr>
      <t xml:space="preserve"> (Iterative Denomator)</t>
    </r>
  </si>
  <si>
    <t>A. Slope Stability Assessment - Conventional Method</t>
  </si>
  <si>
    <t>(i) Design Approach 1, Combination 1</t>
  </si>
  <si>
    <t>This spreadsheet performs a circular slope stability analysis using the Simplified Bishop’s Method in accordance with Eurocode 7 (EN 1997) Design Approach 1 (DA1). The process begins with the geometric generation of the slip circle and the discretization of the soil mass into slices, utilizing initial assumptions for the center of rotation (e.g., Xc = 0.5B, Yc = 1.2H) that the user can readily modify to find the critical surface. The soil mass is discretized into slices, with forces evaluated for each slice to determine the Factor of Safety using both the Conventional (non-iterative) approach and the Routine (iterative) solution procedure. The analysis is carried out for both Combination 1 and Combination 2.</t>
  </si>
  <si>
    <t>B. Slope Stability Assessment - Routine (Iterative) Method</t>
  </si>
  <si>
    <t>Vertical componant ratio of slope</t>
  </si>
  <si>
    <t>Horizontal componant ratio of slope</t>
  </si>
  <si>
    <r>
      <t>H</t>
    </r>
    <r>
      <rPr>
        <vertAlign val="subscript"/>
        <sz val="10"/>
        <rFont val="Arial"/>
        <family val="2"/>
      </rPr>
      <t>c</t>
    </r>
    <r>
      <rPr>
        <sz val="10"/>
        <rFont val="Arial"/>
        <family val="2"/>
      </rPr>
      <t xml:space="preserve"> =</t>
    </r>
  </si>
  <si>
    <r>
      <t>V</t>
    </r>
    <r>
      <rPr>
        <vertAlign val="subscript"/>
        <sz val="10"/>
        <rFont val="Arial"/>
        <family val="2"/>
      </rPr>
      <t>c</t>
    </r>
    <r>
      <rPr>
        <sz val="10"/>
        <rFont val="Arial"/>
        <family val="2"/>
      </rPr>
      <t xml:space="preserve"> =</t>
    </r>
  </si>
  <si>
    <t>Ratio of slope</t>
  </si>
  <si>
    <t>Crest Horizontal Position</t>
  </si>
  <si>
    <r>
      <t>X</t>
    </r>
    <r>
      <rPr>
        <vertAlign val="subscript"/>
        <sz val="10"/>
        <rFont val="Arial"/>
        <family val="2"/>
      </rPr>
      <t>crest</t>
    </r>
    <r>
      <rPr>
        <sz val="10"/>
        <rFont val="Arial"/>
        <family val="2"/>
      </rPr>
      <t xml:space="preserve"> =</t>
    </r>
  </si>
  <si>
    <r>
      <t>V</t>
    </r>
    <r>
      <rPr>
        <vertAlign val="subscript"/>
        <sz val="10"/>
        <rFont val="Arial"/>
        <family val="2"/>
      </rPr>
      <t>c</t>
    </r>
    <r>
      <rPr>
        <sz val="10"/>
        <rFont val="Arial"/>
        <family val="2"/>
      </rPr>
      <t>:H</t>
    </r>
    <r>
      <rPr>
        <vertAlign val="subscript"/>
        <sz val="10"/>
        <rFont val="Arial"/>
        <family val="2"/>
      </rPr>
      <t>c</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</si>
</sst>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quot;B&quot;"/>
    <numFmt numFmtId="165" formatCode="0.0&quot;H&quot;"/>
    <numFmt numFmtId="166" formatCode="0.000"/>
  </numFmts>
  <fonts count="33" x14ac:knownFonts="1">
    <font>
      <sz val="10"/>
      <name val="Arial"/>
    </font>
    <font>
      <sz val="12"/>
      <color theme="1"/>
      <name val="Calibri"/>
      <family val="2"/>
      <scheme val="minor"/>
    </font>
    <font>
      <sz val="12"/>
      <color theme="1"/>
      <name val="Calibri"/>
      <family val="2"/>
      <scheme val="minor"/>
    </font>
    <font>
      <sz val="8"/>
      <name val="Arial"/>
      <family val="2"/>
    </font>
    <font>
      <b/>
      <sz val="10"/>
      <name val="Arial"/>
      <family val="2"/>
    </font>
    <font>
      <sz val="9"/>
      <name val="Verdana"/>
      <family val="2"/>
    </font>
    <font>
      <sz val="9"/>
      <color indexed="10"/>
      <name val="Arial"/>
      <family val="2"/>
    </font>
    <font>
      <sz val="10"/>
      <color indexed="10"/>
      <name val="Arial"/>
      <family val="2"/>
    </font>
    <font>
      <b/>
      <i/>
      <sz val="10"/>
      <name val="Arial"/>
      <family val="2"/>
    </font>
    <font>
      <u/>
      <sz val="7.5"/>
      <color indexed="12"/>
      <name val="Arial"/>
      <family val="2"/>
    </font>
    <font>
      <sz val="11"/>
      <color rgb="FF3F3F76"/>
      <name val="Calibri"/>
      <family val="2"/>
      <scheme val="minor"/>
    </font>
    <font>
      <b/>
      <sz val="8"/>
      <name val="Arial"/>
      <family val="2"/>
    </font>
    <font>
      <sz val="10"/>
      <color rgb="FF000000"/>
      <name val="Calibri"/>
      <family val="2"/>
      <scheme val="minor"/>
    </font>
    <font>
      <sz val="8"/>
      <name val="Arial"/>
      <family val="2"/>
    </font>
    <font>
      <sz val="8"/>
      <color theme="1"/>
      <name val="Roboto"/>
    </font>
    <font>
      <sz val="8"/>
      <color theme="1"/>
      <name val="Calibri"/>
      <family val="2"/>
      <scheme val="minor"/>
    </font>
    <font>
      <sz val="10"/>
      <name val="Arial"/>
      <family val="2"/>
    </font>
    <font>
      <b/>
      <sz val="10"/>
      <color rgb="FF0000FF"/>
      <name val="Arial"/>
      <family val="2"/>
    </font>
    <font>
      <sz val="10"/>
      <color rgb="FF0000FF"/>
      <name val="Arial"/>
      <family val="2"/>
    </font>
    <font>
      <vertAlign val="subscript"/>
      <sz val="10"/>
      <name val="Arial"/>
      <family val="2"/>
    </font>
    <font>
      <vertAlign val="superscript"/>
      <sz val="10"/>
      <name val="Arial"/>
      <family val="2"/>
    </font>
    <font>
      <b/>
      <sz val="10"/>
      <color rgb="FF000000"/>
      <name val="Calibri"/>
      <family val="2"/>
      <scheme val="minor"/>
    </font>
    <font>
      <vertAlign val="subscript"/>
      <sz val="10"/>
      <color rgb="FF000000"/>
      <name val="Calibri"/>
      <family val="2"/>
      <scheme val="minor"/>
    </font>
    <font>
      <i/>
      <sz val="9"/>
      <name val="Arial"/>
      <family val="2"/>
    </font>
    <font>
      <sz val="10"/>
      <color theme="0"/>
      <name val="Arial"/>
      <family val="2"/>
    </font>
    <font>
      <sz val="10"/>
      <name val="Calibri"/>
      <family val="2"/>
      <scheme val="minor"/>
    </font>
    <font>
      <sz val="8"/>
      <name val="Roboto"/>
    </font>
    <font>
      <sz val="8"/>
      <name val="Calibri"/>
      <family val="2"/>
      <scheme val="minor"/>
    </font>
    <font>
      <sz val="9"/>
      <name val="Arial"/>
      <family val="2"/>
    </font>
    <font>
      <vertAlign val="subscript"/>
      <sz val="9"/>
      <name val="Arial"/>
      <family val="2"/>
    </font>
    <font>
      <vertAlign val="subscript"/>
      <sz val="9"/>
      <name val="Calibri"/>
      <family val="2"/>
    </font>
    <font>
      <b/>
      <i/>
      <sz val="9"/>
      <name val="Arial"/>
      <family val="2"/>
    </font>
    <font>
      <sz val="9"/>
      <color indexed="81"/>
      <name val="Tahoma"/>
      <family val="2"/>
    </font>
  </fonts>
  <fills count="3">
    <fill>
      <patternFill patternType="none"/>
    </fill>
    <fill>
      <patternFill patternType="gray125"/>
    </fill>
    <fill>
      <patternFill patternType="solid">
        <fgColor rgb="FFFFCC99"/>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s>
  <cellStyleXfs count="8">
    <xf numFmtId="0" fontId="0" fillId="0" borderId="0"/>
    <xf numFmtId="0" fontId="2" fillId="0" borderId="0"/>
    <xf numFmtId="0" fontId="9" fillId="0" borderId="0" applyNumberFormat="0" applyFill="0" applyBorder="0" applyAlignment="0" applyProtection="0">
      <alignment vertical="top"/>
      <protection locked="0"/>
    </xf>
    <xf numFmtId="0" fontId="1" fillId="0" borderId="0"/>
    <xf numFmtId="0" fontId="10" fillId="2" borderId="1" applyNumberFormat="0" applyAlignment="0" applyProtection="0"/>
    <xf numFmtId="0" fontId="16" fillId="0" borderId="0"/>
    <xf numFmtId="0" fontId="1" fillId="0" borderId="0"/>
    <xf numFmtId="9" fontId="16" fillId="0" borderId="0" applyFont="0" applyFill="0" applyBorder="0" applyAlignment="0" applyProtection="0"/>
  </cellStyleXfs>
  <cellXfs count="97">
    <xf numFmtId="0" fontId="0" fillId="0" borderId="0" xfId="0"/>
    <xf numFmtId="0" fontId="11" fillId="0" borderId="10" xfId="0" applyFont="1" applyBorder="1" applyAlignment="1">
      <alignment vertical="top"/>
    </xf>
    <xf numFmtId="14" fontId="11" fillId="0" borderId="10" xfId="0" applyNumberFormat="1" applyFont="1" applyBorder="1" applyAlignment="1">
      <alignment vertical="top"/>
    </xf>
    <xf numFmtId="0" fontId="16" fillId="0" borderId="0" xfId="0" applyFont="1" applyAlignment="1">
      <alignment horizontal="right" vertical="center"/>
    </xf>
    <xf numFmtId="0" fontId="4" fillId="0" borderId="0" xfId="0" applyFont="1" applyAlignment="1">
      <alignment vertical="center"/>
    </xf>
    <xf numFmtId="0" fontId="16" fillId="0" borderId="0" xfId="0" applyFont="1" applyAlignment="1">
      <alignment vertical="center"/>
    </xf>
    <xf numFmtId="2" fontId="10" fillId="2" borderId="1" xfId="4" applyNumberFormat="1" applyAlignment="1" applyProtection="1">
      <alignment vertical="center"/>
      <protection locked="0"/>
    </xf>
    <xf numFmtId="0" fontId="0" fillId="0" borderId="0" xfId="0" applyAlignment="1">
      <alignment vertical="center"/>
    </xf>
    <xf numFmtId="0" fontId="0" fillId="0" borderId="0" xfId="0" applyAlignment="1">
      <alignment horizontal="right" vertical="center"/>
    </xf>
    <xf numFmtId="0" fontId="12" fillId="0" borderId="0" xfId="0" applyFont="1" applyAlignment="1">
      <alignment vertical="center"/>
    </xf>
    <xf numFmtId="0" fontId="13" fillId="0" borderId="7" xfId="0" applyFont="1" applyBorder="1" applyAlignment="1">
      <alignment vertical="center"/>
    </xf>
    <xf numFmtId="0" fontId="13" fillId="0" borderId="8" xfId="0" applyFont="1" applyBorder="1" applyAlignment="1">
      <alignment vertical="center"/>
    </xf>
    <xf numFmtId="0" fontId="13" fillId="0" borderId="9" xfId="0" applyFont="1" applyBorder="1" applyAlignment="1">
      <alignment vertical="center"/>
    </xf>
    <xf numFmtId="0" fontId="13" fillId="0" borderId="7" xfId="0" applyFont="1" applyBorder="1" applyAlignment="1">
      <alignment horizontal="left" vertical="center"/>
    </xf>
    <xf numFmtId="14" fontId="13" fillId="0" borderId="11" xfId="0" applyNumberFormat="1" applyFont="1" applyBorder="1" applyAlignment="1">
      <alignment horizontal="left" vertical="center"/>
    </xf>
    <xf numFmtId="0" fontId="13" fillId="0" borderId="2" xfId="0" applyFont="1" applyBorder="1" applyAlignment="1">
      <alignment horizontal="center" vertical="center"/>
    </xf>
    <xf numFmtId="0" fontId="13" fillId="0" borderId="11" xfId="0" applyFont="1" applyBorder="1" applyAlignment="1">
      <alignment horizontal="center" vertical="center"/>
    </xf>
    <xf numFmtId="0" fontId="16" fillId="0" borderId="0" xfId="0" applyFont="1" applyAlignment="1">
      <alignment horizontal="left" vertical="center" wrapText="1"/>
    </xf>
    <xf numFmtId="0" fontId="17" fillId="0" borderId="0" xfId="0" applyFont="1" applyAlignment="1">
      <alignment vertical="center"/>
    </xf>
    <xf numFmtId="0" fontId="18" fillId="0" borderId="0" xfId="0" applyFont="1" applyAlignment="1">
      <alignment vertical="center"/>
    </xf>
    <xf numFmtId="0" fontId="8" fillId="0" borderId="0" xfId="0" applyFont="1" applyAlignment="1">
      <alignment vertical="center"/>
    </xf>
    <xf numFmtId="0" fontId="5" fillId="0" borderId="0" xfId="0" applyFont="1" applyAlignment="1">
      <alignment vertical="center"/>
    </xf>
    <xf numFmtId="2" fontId="7" fillId="0" borderId="0" xfId="0" applyNumberFormat="1" applyFont="1" applyAlignment="1">
      <alignment horizontal="center" vertical="center"/>
    </xf>
    <xf numFmtId="2" fontId="6" fillId="0" borderId="0" xfId="0" applyNumberFormat="1" applyFont="1" applyAlignment="1" applyProtection="1">
      <alignment horizontal="center" vertical="center"/>
      <protection locked="0"/>
    </xf>
    <xf numFmtId="0" fontId="21" fillId="0" borderId="0" xfId="0" applyFont="1" applyAlignment="1">
      <alignment vertical="center"/>
    </xf>
    <xf numFmtId="0" fontId="10" fillId="2" borderId="1" xfId="4" applyAlignment="1">
      <alignment vertical="center"/>
    </xf>
    <xf numFmtId="0" fontId="4" fillId="0" borderId="0" xfId="0" applyFont="1" applyAlignment="1">
      <alignment horizontal="left" vertical="center"/>
    </xf>
    <xf numFmtId="0" fontId="24" fillId="0" borderId="0" xfId="0" applyFont="1" applyAlignment="1">
      <alignment vertical="center"/>
    </xf>
    <xf numFmtId="164" fontId="10" fillId="2" borderId="1" xfId="4" applyNumberFormat="1" applyAlignment="1" applyProtection="1">
      <alignment vertical="center"/>
      <protection locked="0"/>
    </xf>
    <xf numFmtId="165" fontId="10" fillId="2" borderId="1" xfId="4" applyNumberFormat="1" applyAlignment="1" applyProtection="1">
      <alignment vertical="center"/>
      <protection locked="0"/>
    </xf>
    <xf numFmtId="2" fontId="16" fillId="0" borderId="0" xfId="0" applyNumberFormat="1" applyFont="1" applyAlignment="1">
      <alignment vertical="center"/>
    </xf>
    <xf numFmtId="2" fontId="0" fillId="0" borderId="0" xfId="0" applyNumberFormat="1" applyAlignment="1">
      <alignment vertical="center"/>
    </xf>
    <xf numFmtId="2" fontId="0" fillId="0" borderId="2" xfId="0" applyNumberFormat="1" applyBorder="1" applyAlignment="1">
      <alignment horizontal="center" vertical="center"/>
    </xf>
    <xf numFmtId="0" fontId="16" fillId="0" borderId="2" xfId="5" applyBorder="1" applyAlignment="1">
      <alignment horizontal="center" vertical="center"/>
    </xf>
    <xf numFmtId="0" fontId="16" fillId="0" borderId="0" xfId="5" applyAlignment="1">
      <alignment vertical="center"/>
    </xf>
    <xf numFmtId="0" fontId="25" fillId="0" borderId="0" xfId="5" applyFont="1" applyAlignment="1">
      <alignment vertical="center"/>
    </xf>
    <xf numFmtId="0" fontId="3" fillId="0" borderId="7" xfId="5" applyFont="1" applyBorder="1" applyAlignment="1">
      <alignment vertical="center"/>
    </xf>
    <xf numFmtId="0" fontId="3" fillId="0" borderId="8" xfId="5" applyFont="1" applyBorder="1" applyAlignment="1">
      <alignment vertical="center"/>
    </xf>
    <xf numFmtId="0" fontId="3" fillId="0" borderId="9" xfId="5" applyFont="1" applyBorder="1" applyAlignment="1">
      <alignment vertical="center"/>
    </xf>
    <xf numFmtId="0" fontId="11" fillId="0" borderId="10" xfId="5" applyFont="1" applyBorder="1" applyAlignment="1">
      <alignment vertical="top"/>
    </xf>
    <xf numFmtId="14" fontId="11" fillId="0" borderId="10" xfId="5" applyNumberFormat="1" applyFont="1" applyBorder="1" applyAlignment="1">
      <alignment vertical="top"/>
    </xf>
    <xf numFmtId="0" fontId="3" fillId="0" borderId="7" xfId="5" applyFont="1" applyBorder="1" applyAlignment="1">
      <alignment horizontal="left" vertical="center"/>
    </xf>
    <xf numFmtId="14" fontId="3" fillId="0" borderId="11" xfId="5" applyNumberFormat="1" applyFont="1" applyBorder="1" applyAlignment="1">
      <alignment horizontal="left" vertical="center"/>
    </xf>
    <xf numFmtId="0" fontId="3" fillId="0" borderId="2" xfId="5" applyFont="1" applyBorder="1" applyAlignment="1">
      <alignment horizontal="center" vertical="center"/>
    </xf>
    <xf numFmtId="0" fontId="3" fillId="0" borderId="11" xfId="5" applyFont="1" applyBorder="1" applyAlignment="1">
      <alignment horizontal="center" vertical="center"/>
    </xf>
    <xf numFmtId="0" fontId="4" fillId="0" borderId="0" xfId="5" applyFont="1" applyAlignment="1">
      <alignment vertical="center"/>
    </xf>
    <xf numFmtId="0" fontId="16" fillId="0" borderId="0" xfId="5"/>
    <xf numFmtId="0" fontId="23" fillId="0" borderId="0" xfId="5" applyFont="1" applyAlignment="1">
      <alignment vertical="center"/>
    </xf>
    <xf numFmtId="0" fontId="16" fillId="0" borderId="0" xfId="5" applyAlignment="1">
      <alignment horizontal="right" vertical="center"/>
    </xf>
    <xf numFmtId="0" fontId="10" fillId="2" borderId="1" xfId="4" applyAlignment="1">
      <alignment horizontal="right" vertical="center"/>
    </xf>
    <xf numFmtId="0" fontId="21" fillId="0" borderId="0" xfId="5" applyFont="1" applyAlignment="1">
      <alignment vertical="center"/>
    </xf>
    <xf numFmtId="0" fontId="10" fillId="0" borderId="0" xfId="4" applyFill="1" applyBorder="1" applyAlignment="1">
      <alignment vertical="center"/>
    </xf>
    <xf numFmtId="0" fontId="12" fillId="0" borderId="0" xfId="5" applyFont="1" applyAlignment="1">
      <alignment horizontal="right" vertical="center"/>
    </xf>
    <xf numFmtId="0" fontId="16" fillId="0" borderId="0" xfId="5" applyAlignment="1">
      <alignment horizontal="center" vertical="center"/>
    </xf>
    <xf numFmtId="2" fontId="0" fillId="0" borderId="0" xfId="0" applyNumberFormat="1"/>
    <xf numFmtId="2" fontId="16" fillId="0" borderId="2" xfId="5" applyNumberFormat="1" applyBorder="1" applyAlignment="1">
      <alignment horizontal="center" vertical="center"/>
    </xf>
    <xf numFmtId="2" fontId="16" fillId="0" borderId="0" xfId="5" applyNumberFormat="1" applyAlignment="1">
      <alignment vertical="center"/>
    </xf>
    <xf numFmtId="2" fontId="10" fillId="2" borderId="1" xfId="4" applyNumberFormat="1" applyAlignment="1">
      <alignment vertical="center"/>
    </xf>
    <xf numFmtId="2" fontId="16" fillId="0" borderId="0" xfId="5" applyNumberFormat="1" applyAlignment="1">
      <alignment horizontal="center" vertical="center"/>
    </xf>
    <xf numFmtId="0" fontId="28" fillId="0" borderId="2" xfId="5" applyFont="1" applyBorder="1" applyAlignment="1">
      <alignment horizontal="center" vertical="center"/>
    </xf>
    <xf numFmtId="2" fontId="28" fillId="0" borderId="2" xfId="5" applyNumberFormat="1" applyFont="1" applyBorder="1" applyAlignment="1">
      <alignment horizontal="center" vertical="center"/>
    </xf>
    <xf numFmtId="0" fontId="0" fillId="0" borderId="2" xfId="0" applyBorder="1" applyAlignment="1">
      <alignment horizontal="center" vertical="center"/>
    </xf>
    <xf numFmtId="2" fontId="16" fillId="0" borderId="0" xfId="5" applyNumberFormat="1" applyAlignment="1">
      <alignment horizontal="right" vertical="center"/>
    </xf>
    <xf numFmtId="2" fontId="16" fillId="0" borderId="0" xfId="5" applyNumberFormat="1" applyAlignment="1">
      <alignment horizontal="left" vertical="center"/>
    </xf>
    <xf numFmtId="0" fontId="28" fillId="0" borderId="2" xfId="0" applyFont="1" applyBorder="1" applyAlignment="1">
      <alignment horizontal="center" vertical="center" wrapText="1"/>
    </xf>
    <xf numFmtId="0" fontId="28" fillId="0" borderId="2" xfId="5" applyFont="1" applyBorder="1" applyAlignment="1">
      <alignment horizontal="center" vertical="center" textRotation="90" wrapText="1"/>
    </xf>
    <xf numFmtId="2" fontId="4" fillId="0" borderId="0" xfId="0" applyNumberFormat="1" applyFont="1" applyAlignment="1">
      <alignment vertical="center"/>
    </xf>
    <xf numFmtId="2" fontId="4" fillId="0" borderId="0" xfId="5" applyNumberFormat="1" applyFont="1" applyAlignment="1">
      <alignment horizontal="center" vertical="center"/>
    </xf>
    <xf numFmtId="166" fontId="4" fillId="0" borderId="0" xfId="5" applyNumberFormat="1" applyFont="1" applyAlignment="1">
      <alignment horizontal="center" vertical="center"/>
    </xf>
    <xf numFmtId="0" fontId="31" fillId="0" borderId="0" xfId="5" applyFont="1" applyAlignment="1">
      <alignment vertical="center"/>
    </xf>
    <xf numFmtId="0" fontId="16" fillId="0" borderId="0" xfId="0" applyFont="1" applyAlignment="1">
      <alignment horizontal="left" vertical="center" wrapText="1"/>
    </xf>
    <xf numFmtId="0" fontId="13" fillId="0" borderId="2" xfId="0" applyFont="1" applyBorder="1" applyAlignment="1">
      <alignment horizontal="center" vertical="center"/>
    </xf>
    <xf numFmtId="0" fontId="13" fillId="0" borderId="1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4" xfId="0" applyFont="1" applyBorder="1" applyAlignment="1">
      <alignment horizontal="left" vertical="top"/>
    </xf>
    <xf numFmtId="0" fontId="11" fillId="0" borderId="6" xfId="0" applyFont="1" applyBorder="1" applyAlignment="1">
      <alignment horizontal="left" vertical="top"/>
    </xf>
    <xf numFmtId="0" fontId="1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3" fillId="0" borderId="2" xfId="5" applyFont="1" applyBorder="1" applyAlignment="1">
      <alignment horizontal="center" vertical="center"/>
    </xf>
    <xf numFmtId="0" fontId="3" fillId="0" borderId="11" xfId="5" applyFont="1" applyBorder="1" applyAlignment="1">
      <alignment horizontal="center" vertical="center"/>
    </xf>
    <xf numFmtId="0" fontId="16" fillId="0" borderId="2" xfId="5" applyBorder="1" applyAlignment="1">
      <alignment horizontal="center" vertical="center"/>
    </xf>
    <xf numFmtId="0" fontId="16" fillId="0" borderId="3" xfId="5" applyBorder="1" applyAlignment="1">
      <alignment horizontal="center" vertical="center"/>
    </xf>
    <xf numFmtId="0" fontId="11" fillId="0" borderId="4" xfId="5" applyFont="1" applyBorder="1" applyAlignment="1">
      <alignment horizontal="left" vertical="top" wrapText="1"/>
    </xf>
    <xf numFmtId="0" fontId="11" fillId="0" borderId="5" xfId="5" applyFont="1" applyBorder="1" applyAlignment="1">
      <alignment horizontal="left" vertical="top" wrapText="1"/>
    </xf>
    <xf numFmtId="0" fontId="11" fillId="0" borderId="6" xfId="5" applyFont="1" applyBorder="1" applyAlignment="1">
      <alignment horizontal="left" vertical="top" wrapText="1"/>
    </xf>
    <xf numFmtId="0" fontId="11" fillId="0" borderId="4" xfId="5" applyFont="1" applyBorder="1" applyAlignment="1">
      <alignment horizontal="left" vertical="top"/>
    </xf>
    <xf numFmtId="0" fontId="11" fillId="0" borderId="6" xfId="5" applyFont="1" applyBorder="1" applyAlignment="1">
      <alignment horizontal="left" vertical="top"/>
    </xf>
    <xf numFmtId="0" fontId="26" fillId="0" borderId="2" xfId="5" applyFont="1" applyBorder="1" applyAlignment="1">
      <alignment horizontal="center" vertical="center" wrapText="1"/>
    </xf>
    <xf numFmtId="0" fontId="27" fillId="0" borderId="2" xfId="5" applyFont="1" applyBorder="1" applyAlignment="1">
      <alignment horizontal="center" vertical="center" wrapText="1"/>
    </xf>
    <xf numFmtId="0" fontId="27" fillId="0" borderId="3" xfId="5" applyFont="1" applyBorder="1" applyAlignment="1">
      <alignment horizontal="center" vertical="center" wrapText="1"/>
    </xf>
    <xf numFmtId="2" fontId="16" fillId="0" borderId="0" xfId="0" applyNumberFormat="1" applyFont="1" applyAlignment="1">
      <alignment horizontal="right" vertical="center"/>
    </xf>
    <xf numFmtId="2" fontId="0" fillId="0" borderId="0" xfId="0" applyNumberFormat="1" applyAlignment="1">
      <alignment horizontal="right" vertical="center"/>
    </xf>
  </cellXfs>
  <cellStyles count="8">
    <cellStyle name="Hyperlink 2" xfId="2" xr:uid="{00000000-0005-0000-0000-000000000000}"/>
    <cellStyle name="Input" xfId="4" builtinId="20"/>
    <cellStyle name="Normal" xfId="0" builtinId="0"/>
    <cellStyle name="Normal 2" xfId="1" xr:uid="{00000000-0005-0000-0000-000002000000}"/>
    <cellStyle name="Normal 2 2" xfId="6" xr:uid="{8C280D19-B726-4D16-8C75-C12663E30740}"/>
    <cellStyle name="Normal 3" xfId="3" xr:uid="{00000000-0005-0000-0000-000003000000}"/>
    <cellStyle name="Normal 4" xfId="5" xr:uid="{38EF4285-E670-45AA-8445-1B6CE619A6FD}"/>
    <cellStyle name="Percent 2" xfId="7" xr:uid="{9318B3B0-964A-483E-8FF4-E04251B131CC}"/>
  </cellStyles>
  <dxfs count="18">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Medium4"/>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85302</xdr:colOff>
      <xdr:row>0</xdr:row>
      <xdr:rowOff>19050</xdr:rowOff>
    </xdr:from>
    <xdr:to>
      <xdr:col>2</xdr:col>
      <xdr:colOff>378998</xdr:colOff>
      <xdr:row>2</xdr:row>
      <xdr:rowOff>150494</xdr:rowOff>
    </xdr:to>
    <xdr:pic>
      <xdr:nvPicPr>
        <xdr:cNvPr id="2" name="Picture 1">
          <a:extLst>
            <a:ext uri="{FF2B5EF4-FFF2-40B4-BE49-F238E27FC236}">
              <a16:creationId xmlns:a16="http://schemas.microsoft.com/office/drawing/2014/main" id="{84CB8817-0B5E-4699-9DD2-D3401EBC8B02}"/>
            </a:ext>
          </a:extLst>
        </xdr:cNvPr>
        <xdr:cNvPicPr>
          <a:picLocks noChangeAspect="1"/>
        </xdr:cNvPicPr>
      </xdr:nvPicPr>
      <xdr:blipFill>
        <a:blip xmlns:r="http://schemas.openxmlformats.org/officeDocument/2006/relationships" r:embed="rId1"/>
        <a:stretch>
          <a:fillRect/>
        </a:stretch>
      </xdr:blipFill>
      <xdr:spPr>
        <a:xfrm>
          <a:off x="85302" y="19050"/>
          <a:ext cx="1493846" cy="5124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78952</xdr:colOff>
      <xdr:row>0</xdr:row>
      <xdr:rowOff>12700</xdr:rowOff>
    </xdr:from>
    <xdr:to>
      <xdr:col>2</xdr:col>
      <xdr:colOff>372648</xdr:colOff>
      <xdr:row>2</xdr:row>
      <xdr:rowOff>144144</xdr:rowOff>
    </xdr:to>
    <xdr:pic>
      <xdr:nvPicPr>
        <xdr:cNvPr id="2" name="Picture 1">
          <a:extLst>
            <a:ext uri="{FF2B5EF4-FFF2-40B4-BE49-F238E27FC236}">
              <a16:creationId xmlns:a16="http://schemas.microsoft.com/office/drawing/2014/main" id="{B9A6C6FE-18FA-45D2-A60C-A9F86C998467}"/>
            </a:ext>
          </a:extLst>
        </xdr:cNvPr>
        <xdr:cNvPicPr>
          <a:picLocks noChangeAspect="1"/>
        </xdr:cNvPicPr>
      </xdr:nvPicPr>
      <xdr:blipFill>
        <a:blip xmlns:r="http://schemas.openxmlformats.org/officeDocument/2006/relationships" r:embed="rId1"/>
        <a:stretch>
          <a:fillRect/>
        </a:stretch>
      </xdr:blipFill>
      <xdr:spPr>
        <a:xfrm>
          <a:off x="78952" y="12700"/>
          <a:ext cx="1493846" cy="5124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78952</xdr:colOff>
      <xdr:row>0</xdr:row>
      <xdr:rowOff>12700</xdr:rowOff>
    </xdr:from>
    <xdr:to>
      <xdr:col>2</xdr:col>
      <xdr:colOff>372648</xdr:colOff>
      <xdr:row>2</xdr:row>
      <xdr:rowOff>144144</xdr:rowOff>
    </xdr:to>
    <xdr:pic>
      <xdr:nvPicPr>
        <xdr:cNvPr id="2" name="Picture 1">
          <a:extLst>
            <a:ext uri="{FF2B5EF4-FFF2-40B4-BE49-F238E27FC236}">
              <a16:creationId xmlns:a16="http://schemas.microsoft.com/office/drawing/2014/main" id="{2CA8D7F5-955C-45B7-8BC8-F7AC6DEEB69F}"/>
            </a:ext>
          </a:extLst>
        </xdr:cNvPr>
        <xdr:cNvPicPr>
          <a:picLocks noChangeAspect="1"/>
        </xdr:cNvPicPr>
      </xdr:nvPicPr>
      <xdr:blipFill>
        <a:blip xmlns:r="http://schemas.openxmlformats.org/officeDocument/2006/relationships" r:embed="rId1"/>
        <a:stretch>
          <a:fillRect/>
        </a:stretch>
      </xdr:blipFill>
      <xdr:spPr>
        <a:xfrm>
          <a:off x="78952" y="12700"/>
          <a:ext cx="1493846" cy="5124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78952</xdr:colOff>
      <xdr:row>0</xdr:row>
      <xdr:rowOff>12700</xdr:rowOff>
    </xdr:from>
    <xdr:to>
      <xdr:col>2</xdr:col>
      <xdr:colOff>372648</xdr:colOff>
      <xdr:row>2</xdr:row>
      <xdr:rowOff>144144</xdr:rowOff>
    </xdr:to>
    <xdr:pic>
      <xdr:nvPicPr>
        <xdr:cNvPr id="2" name="Picture 1">
          <a:extLst>
            <a:ext uri="{FF2B5EF4-FFF2-40B4-BE49-F238E27FC236}">
              <a16:creationId xmlns:a16="http://schemas.microsoft.com/office/drawing/2014/main" id="{5EA6EE75-1AB6-4F76-B33D-46C2128A2D5E}"/>
            </a:ext>
          </a:extLst>
        </xdr:cNvPr>
        <xdr:cNvPicPr>
          <a:picLocks noChangeAspect="1"/>
        </xdr:cNvPicPr>
      </xdr:nvPicPr>
      <xdr:blipFill>
        <a:blip xmlns:r="http://schemas.openxmlformats.org/officeDocument/2006/relationships" r:embed="rId1"/>
        <a:stretch>
          <a:fillRect/>
        </a:stretch>
      </xdr:blipFill>
      <xdr:spPr>
        <a:xfrm>
          <a:off x="78952" y="12700"/>
          <a:ext cx="1493846" cy="5124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78952</xdr:colOff>
      <xdr:row>0</xdr:row>
      <xdr:rowOff>12700</xdr:rowOff>
    </xdr:from>
    <xdr:to>
      <xdr:col>2</xdr:col>
      <xdr:colOff>372648</xdr:colOff>
      <xdr:row>2</xdr:row>
      <xdr:rowOff>144144</xdr:rowOff>
    </xdr:to>
    <xdr:pic>
      <xdr:nvPicPr>
        <xdr:cNvPr id="2" name="Picture 1">
          <a:extLst>
            <a:ext uri="{FF2B5EF4-FFF2-40B4-BE49-F238E27FC236}">
              <a16:creationId xmlns:a16="http://schemas.microsoft.com/office/drawing/2014/main" id="{652CFE7B-CEA6-4046-BA8C-3E52B5B8E348}"/>
            </a:ext>
          </a:extLst>
        </xdr:cNvPr>
        <xdr:cNvPicPr>
          <a:picLocks noChangeAspect="1"/>
        </xdr:cNvPicPr>
      </xdr:nvPicPr>
      <xdr:blipFill>
        <a:blip xmlns:r="http://schemas.openxmlformats.org/officeDocument/2006/relationships" r:embed="rId1"/>
        <a:stretch>
          <a:fillRect/>
        </a:stretch>
      </xdr:blipFill>
      <xdr:spPr>
        <a:xfrm>
          <a:off x="78952" y="12700"/>
          <a:ext cx="1493846" cy="5124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0CD91-8851-40C0-8B27-B731C3905F17}">
  <dimension ref="A1:O84"/>
  <sheetViews>
    <sheetView tabSelected="1" topLeftCell="A40" zoomScale="160" zoomScaleNormal="160" zoomScaleSheetLayoutView="175" workbookViewId="0">
      <selection activeCell="J30" sqref="J30"/>
    </sheetView>
  </sheetViews>
  <sheetFormatPr defaultColWidth="8.85546875" defaultRowHeight="12.75" x14ac:dyDescent="0.2"/>
  <cols>
    <col min="1" max="5" width="9" style="7" customWidth="1"/>
    <col min="6" max="6" width="9.28515625" style="7" customWidth="1"/>
    <col min="7" max="11" width="9" style="7" customWidth="1"/>
    <col min="12" max="16384" width="8.85546875" style="7"/>
  </cols>
  <sheetData>
    <row r="1" spans="1:15" ht="15" customHeight="1" x14ac:dyDescent="0.2">
      <c r="A1" s="73"/>
      <c r="B1" s="73"/>
      <c r="C1" s="74"/>
      <c r="D1" s="75" t="s">
        <v>2</v>
      </c>
      <c r="E1" s="76"/>
      <c r="F1" s="76"/>
      <c r="G1" s="76"/>
      <c r="H1" s="76"/>
      <c r="I1" s="77"/>
      <c r="J1" s="75" t="s">
        <v>3</v>
      </c>
      <c r="K1" s="77"/>
      <c r="O1" s="9"/>
    </row>
    <row r="2" spans="1:15" ht="15" customHeight="1" x14ac:dyDescent="0.2">
      <c r="A2" s="73"/>
      <c r="B2" s="73"/>
      <c r="C2" s="74"/>
      <c r="D2" s="10" t="s">
        <v>4</v>
      </c>
      <c r="E2" s="11"/>
      <c r="F2" s="11"/>
      <c r="G2" s="11"/>
      <c r="H2" s="11"/>
      <c r="I2" s="12"/>
      <c r="J2" s="10" t="s">
        <v>5</v>
      </c>
      <c r="K2" s="12"/>
      <c r="O2" s="9"/>
    </row>
    <row r="3" spans="1:15" ht="15" customHeight="1" x14ac:dyDescent="0.2">
      <c r="A3" s="73"/>
      <c r="B3" s="73"/>
      <c r="C3" s="74"/>
      <c r="D3" s="75" t="s">
        <v>6</v>
      </c>
      <c r="E3" s="76"/>
      <c r="F3" s="76"/>
      <c r="G3" s="76"/>
      <c r="H3" s="76"/>
      <c r="I3" s="77"/>
      <c r="J3" s="78" t="s">
        <v>7</v>
      </c>
      <c r="K3" s="79"/>
    </row>
    <row r="4" spans="1:15" ht="15" customHeight="1" x14ac:dyDescent="0.2">
      <c r="A4" s="80" t="s">
        <v>8</v>
      </c>
      <c r="B4" s="81"/>
      <c r="C4" s="82"/>
      <c r="D4" s="10" t="s">
        <v>9</v>
      </c>
      <c r="E4" s="11"/>
      <c r="F4" s="11"/>
      <c r="G4" s="11"/>
      <c r="H4" s="11"/>
      <c r="I4" s="12"/>
      <c r="J4" s="10"/>
      <c r="K4" s="12"/>
    </row>
    <row r="5" spans="1:15" ht="15" customHeight="1" x14ac:dyDescent="0.2">
      <c r="A5" s="81"/>
      <c r="B5" s="81"/>
      <c r="C5" s="82"/>
      <c r="D5" s="75" t="s">
        <v>10</v>
      </c>
      <c r="E5" s="77"/>
      <c r="F5" s="75" t="s">
        <v>11</v>
      </c>
      <c r="G5" s="77"/>
      <c r="H5" s="1" t="s">
        <v>12</v>
      </c>
      <c r="I5" s="78" t="s">
        <v>13</v>
      </c>
      <c r="J5" s="79"/>
      <c r="K5" s="2" t="s">
        <v>12</v>
      </c>
    </row>
    <row r="6" spans="1:15" ht="15" customHeight="1" x14ac:dyDescent="0.2">
      <c r="A6" s="81"/>
      <c r="B6" s="81"/>
      <c r="C6" s="82"/>
      <c r="D6" s="13" t="s">
        <v>14</v>
      </c>
      <c r="E6" s="12"/>
      <c r="F6" s="13" t="s">
        <v>15</v>
      </c>
      <c r="G6" s="12"/>
      <c r="H6" s="14">
        <f ca="1">TODAY()</f>
        <v>46005</v>
      </c>
      <c r="I6" s="13" t="s">
        <v>16</v>
      </c>
      <c r="J6" s="12"/>
      <c r="K6" s="14">
        <f ca="1">TODAY()</f>
        <v>46005</v>
      </c>
    </row>
    <row r="7" spans="1:15" ht="12.75" customHeight="1" x14ac:dyDescent="0.2">
      <c r="A7" s="15" t="s">
        <v>17</v>
      </c>
      <c r="B7" s="71" t="s">
        <v>18</v>
      </c>
      <c r="C7" s="71"/>
      <c r="D7" s="72"/>
      <c r="E7" s="72"/>
      <c r="F7" s="72"/>
      <c r="G7" s="72"/>
      <c r="H7" s="72"/>
      <c r="I7" s="72"/>
      <c r="J7" s="72"/>
      <c r="K7" s="16" t="s">
        <v>19</v>
      </c>
    </row>
    <row r="8" spans="1:15" ht="15" customHeight="1" x14ac:dyDescent="0.2">
      <c r="A8" s="5"/>
      <c r="B8" s="5"/>
      <c r="C8" s="5"/>
      <c r="D8" s="5"/>
      <c r="E8" s="5"/>
      <c r="F8" s="5"/>
      <c r="G8" s="5"/>
      <c r="H8" s="5"/>
      <c r="I8" s="5"/>
      <c r="J8" s="5"/>
      <c r="K8" s="5"/>
    </row>
    <row r="9" spans="1:15" ht="15" customHeight="1" x14ac:dyDescent="0.2">
      <c r="A9" s="5"/>
      <c r="B9" s="26" t="s">
        <v>72</v>
      </c>
      <c r="E9" s="4"/>
      <c r="F9" s="4"/>
      <c r="G9" s="4"/>
      <c r="H9" s="4"/>
      <c r="I9" s="5"/>
      <c r="J9" s="5"/>
      <c r="K9" s="5"/>
      <c r="M9" s="4"/>
    </row>
    <row r="10" spans="1:15" ht="15" customHeight="1" x14ac:dyDescent="0.2">
      <c r="A10" s="5"/>
      <c r="B10" s="70" t="s">
        <v>96</v>
      </c>
      <c r="C10" s="70"/>
      <c r="D10" s="70"/>
      <c r="E10" s="70"/>
      <c r="F10" s="70"/>
      <c r="G10" s="70"/>
      <c r="H10" s="70"/>
      <c r="I10" s="70"/>
      <c r="J10" s="70"/>
      <c r="K10" s="5"/>
    </row>
    <row r="11" spans="1:15" ht="15" customHeight="1" x14ac:dyDescent="0.2">
      <c r="A11" s="5"/>
      <c r="B11" s="70"/>
      <c r="C11" s="70"/>
      <c r="D11" s="70"/>
      <c r="E11" s="70"/>
      <c r="F11" s="70"/>
      <c r="G11" s="70"/>
      <c r="H11" s="70"/>
      <c r="I11" s="70"/>
      <c r="J11" s="70"/>
      <c r="K11" s="5"/>
    </row>
    <row r="12" spans="1:15" ht="15" customHeight="1" x14ac:dyDescent="0.2">
      <c r="A12" s="5"/>
      <c r="B12" s="70"/>
      <c r="C12" s="70"/>
      <c r="D12" s="70"/>
      <c r="E12" s="70"/>
      <c r="F12" s="70"/>
      <c r="G12" s="70"/>
      <c r="H12" s="70"/>
      <c r="I12" s="70"/>
      <c r="J12" s="70"/>
      <c r="K12" s="5"/>
    </row>
    <row r="13" spans="1:15" ht="15" customHeight="1" x14ac:dyDescent="0.2">
      <c r="A13" s="18"/>
      <c r="B13" s="70"/>
      <c r="C13" s="70"/>
      <c r="D13" s="70"/>
      <c r="E13" s="70"/>
      <c r="F13" s="70"/>
      <c r="G13" s="70"/>
      <c r="H13" s="70"/>
      <c r="I13" s="70"/>
      <c r="J13" s="70"/>
      <c r="K13" s="5"/>
    </row>
    <row r="14" spans="1:15" ht="15" customHeight="1" x14ac:dyDescent="0.2">
      <c r="A14" s="18"/>
      <c r="B14" s="70"/>
      <c r="C14" s="70"/>
      <c r="D14" s="70"/>
      <c r="E14" s="70"/>
      <c r="F14" s="70"/>
      <c r="G14" s="70"/>
      <c r="H14" s="70"/>
      <c r="I14" s="70"/>
      <c r="J14" s="70"/>
      <c r="K14" s="5"/>
      <c r="N14" s="5"/>
    </row>
    <row r="15" spans="1:15" ht="15" customHeight="1" x14ac:dyDescent="0.2">
      <c r="A15" s="18"/>
      <c r="B15" s="70"/>
      <c r="C15" s="70"/>
      <c r="D15" s="70"/>
      <c r="E15" s="70"/>
      <c r="F15" s="70"/>
      <c r="G15" s="70"/>
      <c r="H15" s="70"/>
      <c r="I15" s="70"/>
      <c r="J15" s="70"/>
      <c r="K15" s="5"/>
    </row>
    <row r="16" spans="1:15" ht="15" customHeight="1" x14ac:dyDescent="0.2">
      <c r="A16" s="18"/>
      <c r="B16" s="70"/>
      <c r="C16" s="70"/>
      <c r="D16" s="70"/>
      <c r="E16" s="70"/>
      <c r="F16" s="70"/>
      <c r="G16" s="70"/>
      <c r="H16" s="70"/>
      <c r="I16" s="70"/>
      <c r="J16" s="70"/>
      <c r="K16" s="5"/>
    </row>
    <row r="17" spans="1:12" ht="15" customHeight="1" x14ac:dyDescent="0.2">
      <c r="A17" s="18"/>
      <c r="B17" s="17"/>
      <c r="C17" s="17"/>
      <c r="D17" s="17"/>
      <c r="E17" s="17"/>
      <c r="F17" s="17"/>
      <c r="G17" s="17"/>
      <c r="H17" s="17"/>
      <c r="I17" s="17"/>
      <c r="J17" s="17"/>
      <c r="K17" s="5"/>
    </row>
    <row r="18" spans="1:12" ht="15" customHeight="1" x14ac:dyDescent="0.2">
      <c r="A18" s="19"/>
      <c r="C18" s="4" t="s">
        <v>24</v>
      </c>
      <c r="D18" s="5"/>
      <c r="E18" s="5"/>
      <c r="F18" s="5"/>
      <c r="G18" s="5"/>
      <c r="H18" s="5"/>
      <c r="I18" s="5"/>
      <c r="J18" s="5"/>
      <c r="K18" s="5"/>
    </row>
    <row r="19" spans="1:12" ht="15" customHeight="1" x14ac:dyDescent="0.2">
      <c r="A19" s="5"/>
      <c r="B19" s="5"/>
      <c r="C19" s="5"/>
      <c r="D19" s="47" t="s">
        <v>76</v>
      </c>
      <c r="E19" s="5"/>
      <c r="F19" s="5"/>
      <c r="G19" s="5"/>
      <c r="H19" s="5"/>
      <c r="I19" s="5"/>
      <c r="J19" s="5"/>
      <c r="K19" s="5"/>
    </row>
    <row r="20" spans="1:12" ht="15" customHeight="1" x14ac:dyDescent="0.2">
      <c r="A20" s="5"/>
      <c r="B20" s="5"/>
      <c r="C20" s="5"/>
      <c r="D20" s="3" t="s">
        <v>27</v>
      </c>
      <c r="E20" s="3" t="s">
        <v>28</v>
      </c>
      <c r="F20" s="6">
        <v>6.1</v>
      </c>
      <c r="G20" s="5" t="s">
        <v>31</v>
      </c>
      <c r="H20" s="5"/>
      <c r="I20" s="5"/>
      <c r="J20" s="5"/>
      <c r="K20" s="5"/>
    </row>
    <row r="21" spans="1:12" ht="15" customHeight="1" x14ac:dyDescent="0.2">
      <c r="A21" s="5"/>
      <c r="B21" s="5"/>
      <c r="C21" s="5"/>
      <c r="D21" s="3" t="s">
        <v>29</v>
      </c>
      <c r="E21" s="3" t="s">
        <v>30</v>
      </c>
      <c r="F21" s="6">
        <v>11.7</v>
      </c>
      <c r="G21" s="5" t="s">
        <v>31</v>
      </c>
      <c r="H21" s="5"/>
      <c r="I21" s="5"/>
      <c r="J21" s="5"/>
      <c r="K21" s="5"/>
    </row>
    <row r="22" spans="1:12" ht="15" customHeight="1" x14ac:dyDescent="0.2">
      <c r="A22" s="5"/>
      <c r="B22" s="5"/>
      <c r="C22" s="5"/>
      <c r="D22" s="3" t="s">
        <v>32</v>
      </c>
      <c r="E22" s="3" t="s">
        <v>33</v>
      </c>
      <c r="F22" s="6">
        <v>9.15</v>
      </c>
      <c r="G22" s="5" t="s">
        <v>31</v>
      </c>
      <c r="H22" s="5"/>
      <c r="I22" s="5"/>
      <c r="J22" s="5"/>
      <c r="K22" s="5"/>
    </row>
    <row r="23" spans="1:12" ht="15" customHeight="1" x14ac:dyDescent="0.2">
      <c r="A23" s="5"/>
      <c r="B23" s="5"/>
      <c r="C23" s="5"/>
      <c r="D23" s="3" t="s">
        <v>67</v>
      </c>
      <c r="E23" s="3" t="s">
        <v>39</v>
      </c>
      <c r="F23" s="28">
        <v>0.5</v>
      </c>
      <c r="G23" s="5" t="s">
        <v>31</v>
      </c>
      <c r="H23" s="5"/>
      <c r="I23" s="5"/>
      <c r="J23" s="5"/>
      <c r="K23" s="5"/>
    </row>
    <row r="24" spans="1:12" ht="15" customHeight="1" x14ac:dyDescent="0.2">
      <c r="A24" s="5"/>
      <c r="B24" s="5"/>
      <c r="C24" s="5"/>
      <c r="D24" s="3" t="s">
        <v>67</v>
      </c>
      <c r="E24" s="3" t="s">
        <v>38</v>
      </c>
      <c r="F24" s="29">
        <v>1.2</v>
      </c>
      <c r="G24" s="5" t="s">
        <v>31</v>
      </c>
      <c r="H24" s="5"/>
      <c r="I24" s="5"/>
      <c r="J24" s="5"/>
      <c r="K24" s="5"/>
    </row>
    <row r="25" spans="1:12" ht="15" customHeight="1" x14ac:dyDescent="0.2">
      <c r="A25" s="5"/>
      <c r="B25" s="5"/>
      <c r="C25" s="5"/>
      <c r="D25" s="3" t="s">
        <v>98</v>
      </c>
      <c r="E25" s="3" t="s">
        <v>101</v>
      </c>
      <c r="F25" s="6">
        <v>1</v>
      </c>
      <c r="G25" s="5"/>
      <c r="H25" s="5"/>
      <c r="I25" s="5"/>
      <c r="J25" s="5"/>
      <c r="K25" s="5"/>
    </row>
    <row r="26" spans="1:12" ht="15" customHeight="1" x14ac:dyDescent="0.2">
      <c r="A26" s="5"/>
      <c r="B26" s="5"/>
      <c r="C26" s="5"/>
      <c r="D26" s="3" t="s">
        <v>99</v>
      </c>
      <c r="E26" s="3" t="s">
        <v>100</v>
      </c>
      <c r="F26" s="6">
        <v>1.7</v>
      </c>
      <c r="G26" s="5"/>
      <c r="H26" s="5"/>
      <c r="I26" s="5"/>
      <c r="J26" s="5"/>
      <c r="K26" s="5"/>
    </row>
    <row r="27" spans="1:12" ht="15" customHeight="1" x14ac:dyDescent="0.2">
      <c r="A27" s="5"/>
      <c r="B27" s="5"/>
      <c r="C27" s="5"/>
      <c r="D27" s="3" t="s">
        <v>57</v>
      </c>
      <c r="E27" s="3" t="s">
        <v>58</v>
      </c>
      <c r="F27" s="25">
        <v>5</v>
      </c>
      <c r="G27" s="5" t="s">
        <v>31</v>
      </c>
      <c r="H27" s="5"/>
      <c r="I27" s="5"/>
      <c r="J27" s="5"/>
      <c r="K27" s="5"/>
    </row>
    <row r="28" spans="1:12" ht="15" customHeight="1" x14ac:dyDescent="0.2">
      <c r="A28" s="5"/>
      <c r="B28" s="5"/>
      <c r="C28" s="5"/>
      <c r="D28" s="5"/>
      <c r="E28" s="5"/>
      <c r="F28" s="5"/>
      <c r="G28" s="5"/>
      <c r="H28" s="5"/>
      <c r="I28" s="5"/>
      <c r="J28" s="5"/>
      <c r="K28" s="5"/>
    </row>
    <row r="29" spans="1:12" ht="15" customHeight="1" x14ac:dyDescent="0.2">
      <c r="A29" s="5"/>
      <c r="B29" s="5"/>
      <c r="C29" s="5"/>
      <c r="D29" s="47" t="s">
        <v>77</v>
      </c>
      <c r="E29" s="5"/>
      <c r="F29" s="5"/>
      <c r="G29" s="5"/>
      <c r="H29" s="5"/>
      <c r="I29" s="5"/>
      <c r="J29" s="5"/>
      <c r="K29" s="5"/>
    </row>
    <row r="30" spans="1:12" ht="15" customHeight="1" x14ac:dyDescent="0.2">
      <c r="A30" s="5"/>
      <c r="B30" s="5"/>
      <c r="C30" s="5"/>
      <c r="D30" s="3" t="s">
        <v>0</v>
      </c>
      <c r="E30" s="3" t="s">
        <v>75</v>
      </c>
      <c r="F30" s="6">
        <v>20</v>
      </c>
      <c r="G30" s="5" t="s">
        <v>1</v>
      </c>
      <c r="H30" s="5"/>
      <c r="I30" s="5"/>
      <c r="J30" s="20"/>
      <c r="K30" s="27"/>
      <c r="L30" s="21"/>
    </row>
    <row r="31" spans="1:12" ht="15" customHeight="1" x14ac:dyDescent="0.2">
      <c r="A31" s="5"/>
      <c r="B31" s="5"/>
      <c r="C31" s="5"/>
      <c r="D31" s="3" t="s">
        <v>34</v>
      </c>
      <c r="E31" s="3" t="s">
        <v>35</v>
      </c>
      <c r="F31" s="6">
        <v>12</v>
      </c>
      <c r="G31" s="5" t="s">
        <v>36</v>
      </c>
      <c r="H31" s="5"/>
      <c r="I31" s="5"/>
      <c r="J31" s="20"/>
      <c r="K31" s="27"/>
      <c r="L31" s="21"/>
    </row>
    <row r="32" spans="1:12" ht="15" customHeight="1" x14ac:dyDescent="0.2">
      <c r="A32" s="5"/>
      <c r="B32" s="5"/>
      <c r="C32" s="5"/>
      <c r="D32" s="3" t="s">
        <v>25</v>
      </c>
      <c r="E32" s="3" t="s">
        <v>20</v>
      </c>
      <c r="F32" s="6">
        <v>19.2</v>
      </c>
      <c r="G32" s="5" t="s">
        <v>21</v>
      </c>
      <c r="H32" s="5"/>
      <c r="I32" s="5"/>
      <c r="J32" s="5"/>
      <c r="K32" s="27"/>
      <c r="L32" s="22"/>
    </row>
    <row r="33" spans="1:13" ht="15" customHeight="1" x14ac:dyDescent="0.2">
      <c r="A33" s="5"/>
      <c r="B33" s="5"/>
      <c r="C33" s="5"/>
      <c r="D33" s="3"/>
      <c r="E33" s="3"/>
      <c r="F33"/>
      <c r="G33" s="5"/>
      <c r="H33" s="5"/>
      <c r="I33" s="5"/>
      <c r="J33" s="5"/>
      <c r="K33" s="27"/>
      <c r="L33" s="22"/>
    </row>
    <row r="34" spans="1:13" ht="15" customHeight="1" x14ac:dyDescent="0.2">
      <c r="A34" s="5"/>
      <c r="B34" s="5"/>
      <c r="C34" s="4" t="s">
        <v>37</v>
      </c>
      <c r="D34" s="4"/>
      <c r="E34" s="5"/>
      <c r="F34" s="5"/>
      <c r="G34" s="5"/>
      <c r="H34" s="5"/>
      <c r="I34" s="5"/>
      <c r="J34" s="5"/>
      <c r="K34" s="5"/>
      <c r="L34" s="21"/>
      <c r="M34" s="23"/>
    </row>
    <row r="35" spans="1:13" ht="15" customHeight="1" x14ac:dyDescent="0.2">
      <c r="A35" s="5"/>
      <c r="B35" s="5"/>
      <c r="C35" s="4"/>
      <c r="D35" s="3" t="s">
        <v>102</v>
      </c>
      <c r="E35" s="3" t="s">
        <v>105</v>
      </c>
      <c r="F35" s="3" t="str">
        <f>CONCATENATE(Vc,":",Hc)</f>
        <v>1:1.7</v>
      </c>
      <c r="G35" s="5"/>
      <c r="H35" s="5"/>
      <c r="I35" s="5"/>
      <c r="J35" s="5"/>
      <c r="K35" s="5"/>
      <c r="L35" s="21"/>
      <c r="M35" s="23"/>
    </row>
    <row r="36" spans="1:13" ht="15" customHeight="1" x14ac:dyDescent="0.2">
      <c r="A36" s="5"/>
      <c r="B36" s="5"/>
      <c r="C36" s="4"/>
      <c r="D36" s="3" t="s">
        <v>103</v>
      </c>
      <c r="E36" s="3" t="s">
        <v>104</v>
      </c>
      <c r="F36" s="95">
        <f>H*Hc/Vc</f>
        <v>10.37</v>
      </c>
      <c r="G36" s="5" t="s">
        <v>31</v>
      </c>
      <c r="H36" s="5"/>
      <c r="I36" s="5"/>
      <c r="J36" s="5"/>
      <c r="K36" s="5"/>
      <c r="L36" s="21"/>
      <c r="M36" s="23"/>
    </row>
    <row r="37" spans="1:13" ht="15" customHeight="1" x14ac:dyDescent="0.2">
      <c r="A37" s="5"/>
      <c r="B37" s="20"/>
      <c r="C37" s="5"/>
      <c r="D37" s="3" t="s">
        <v>65</v>
      </c>
      <c r="E37" s="3" t="s">
        <v>39</v>
      </c>
      <c r="F37" s="30">
        <f>F23*B</f>
        <v>5.85</v>
      </c>
      <c r="G37" s="5" t="s">
        <v>31</v>
      </c>
      <c r="H37" s="5"/>
      <c r="I37" s="5"/>
      <c r="J37" s="5"/>
      <c r="K37" s="5"/>
    </row>
    <row r="38" spans="1:13" ht="12.75" customHeight="1" x14ac:dyDescent="0.2">
      <c r="D38" s="3" t="s">
        <v>66</v>
      </c>
      <c r="E38" s="3" t="s">
        <v>38</v>
      </c>
      <c r="F38" s="31">
        <f>F24*H</f>
        <v>7.3199999999999994</v>
      </c>
      <c r="G38" s="5" t="s">
        <v>31</v>
      </c>
    </row>
    <row r="39" spans="1:13" ht="12.75" customHeight="1" x14ac:dyDescent="0.2">
      <c r="D39" s="3" t="s">
        <v>74</v>
      </c>
      <c r="E39" s="3" t="s">
        <v>59</v>
      </c>
      <c r="F39" s="96">
        <f>IF(F27&lt;=0,"Dry State",F27)</f>
        <v>5</v>
      </c>
      <c r="G39" s="5" t="s">
        <v>31</v>
      </c>
    </row>
    <row r="40" spans="1:13" ht="12.75" customHeight="1" x14ac:dyDescent="0.2">
      <c r="D40" s="8"/>
    </row>
    <row r="41" spans="1:13" ht="84" customHeight="1" x14ac:dyDescent="0.2">
      <c r="B41" s="64" t="s">
        <v>64</v>
      </c>
      <c r="C41" s="64" t="s">
        <v>82</v>
      </c>
      <c r="D41" s="64" t="s">
        <v>83</v>
      </c>
      <c r="E41" s="64" t="s">
        <v>84</v>
      </c>
      <c r="F41" s="64" t="s">
        <v>40</v>
      </c>
      <c r="G41" s="64" t="s">
        <v>63</v>
      </c>
      <c r="H41" s="64" t="s">
        <v>78</v>
      </c>
      <c r="I41" s="64" t="s">
        <v>79</v>
      </c>
      <c r="J41" s="64" t="s">
        <v>85</v>
      </c>
      <c r="K41" s="64" t="s">
        <v>86</v>
      </c>
    </row>
    <row r="42" spans="1:13" ht="12.75" customHeight="1" x14ac:dyDescent="0.2">
      <c r="B42" s="61">
        <v>1</v>
      </c>
      <c r="C42" s="32">
        <f>(B/COUNT(B42:B46))/2</f>
        <v>1.17</v>
      </c>
      <c r="D42" s="32">
        <f>IF(C42&lt;=Xcrest,C42*(Vc/Hc),H)</f>
        <v>0.68823529411764706</v>
      </c>
      <c r="E42" s="32">
        <f>Yc-SQRT(Radius^2-(C42-Xc)^2)</f>
        <v>-0.54257591378296421</v>
      </c>
      <c r="F42" s="32">
        <f>D42-E42</f>
        <v>1.2308112079006113</v>
      </c>
      <c r="G42" s="32">
        <f>DEGREES(ATAN((C42-Xc)/(Yc-E42)))</f>
        <v>-30.762156112836617</v>
      </c>
      <c r="H42" s="32">
        <f>COS(RADIANS(G42))</f>
        <v>0.85929791407464085</v>
      </c>
      <c r="I42" s="32">
        <f>SIN(RADIANS(G42))</f>
        <v>-0.51147540983606543</v>
      </c>
      <c r="J42" s="32">
        <f>IF($F$27&lt;=0,0,$F$39-E42)</f>
        <v>5.5425759137829642</v>
      </c>
      <c r="K42" s="32">
        <f>IF(J42&lt;0,0,J42*9.81)</f>
        <v>54.372669714210879</v>
      </c>
    </row>
    <row r="43" spans="1:13" ht="12.75" customHeight="1" x14ac:dyDescent="0.2">
      <c r="B43" s="61">
        <v>2</v>
      </c>
      <c r="C43" s="32">
        <f>C42+$C$42*2</f>
        <v>3.51</v>
      </c>
      <c r="D43" s="32">
        <f>IF(C43&lt;=Xcrest,C43*(Vc/Hc),H)</f>
        <v>2.0647058823529409</v>
      </c>
      <c r="E43" s="32">
        <f>Yc-SQRT(Radius^2-(C43-Xc)^2)</f>
        <v>-1.5257277823817317</v>
      </c>
      <c r="F43" s="32">
        <f t="shared" ref="F43:F46" si="0">D43-E43</f>
        <v>3.5904336647346726</v>
      </c>
      <c r="G43" s="32">
        <f>DEGREES(ATAN((C43-Xc)/(Yc-E43)))</f>
        <v>-14.817302019897296</v>
      </c>
      <c r="H43" s="32">
        <f t="shared" ref="H43:H46" si="1">COS(RADIANS(G43))</f>
        <v>0.96674620572477921</v>
      </c>
      <c r="I43" s="32">
        <f t="shared" ref="I43:I46" si="2">SIN(RADIANS(G43))</f>
        <v>-0.25573770491803277</v>
      </c>
      <c r="J43" s="32">
        <f t="shared" ref="J43:J46" si="3">IF($F$27&lt;=0,0,$F$39-E43)</f>
        <v>6.5257277823817317</v>
      </c>
      <c r="K43" s="32">
        <f t="shared" ref="K43:K46" si="4">IF(J43&lt;0,0,J43*9.81)</f>
        <v>64.017389545164789</v>
      </c>
    </row>
    <row r="44" spans="1:13" ht="12.75" customHeight="1" x14ac:dyDescent="0.2">
      <c r="B44" s="61">
        <v>3</v>
      </c>
      <c r="C44" s="32">
        <f t="shared" ref="C44:C46" si="5">C43+$C$42*2</f>
        <v>5.85</v>
      </c>
      <c r="D44" s="32">
        <f>IF(C44&lt;=Xcrest,C44*(Vc/Hc),H)</f>
        <v>3.4411764705882351</v>
      </c>
      <c r="E44" s="32">
        <f>Yc-SQRT(Radius^2-(C44-Xc)^2)</f>
        <v>-1.830000000000001</v>
      </c>
      <c r="F44" s="32">
        <f t="shared" si="0"/>
        <v>5.2711764705882356</v>
      </c>
      <c r="G44" s="32">
        <f>DEGREES(ATAN((C44-Xc)/(Yc-E44)))</f>
        <v>0</v>
      </c>
      <c r="H44" s="32">
        <f t="shared" si="1"/>
        <v>1</v>
      </c>
      <c r="I44" s="32">
        <f t="shared" si="2"/>
        <v>0</v>
      </c>
      <c r="J44" s="32">
        <f t="shared" si="3"/>
        <v>6.830000000000001</v>
      </c>
      <c r="K44" s="32">
        <f t="shared" si="4"/>
        <v>67.00230000000002</v>
      </c>
    </row>
    <row r="45" spans="1:13" ht="12.75" customHeight="1" x14ac:dyDescent="0.2">
      <c r="B45" s="61">
        <v>4</v>
      </c>
      <c r="C45" s="32">
        <f t="shared" si="5"/>
        <v>8.19</v>
      </c>
      <c r="D45" s="32">
        <f>IF(C45&lt;=Xcrest,C45*(Vc/Hc),H)</f>
        <v>4.8176470588235292</v>
      </c>
      <c r="E45" s="32">
        <f>Yc-SQRT(Radius^2-(C45-Xc)^2)</f>
        <v>-1.5257277823817317</v>
      </c>
      <c r="F45" s="32">
        <f t="shared" si="0"/>
        <v>6.3433748412052609</v>
      </c>
      <c r="G45" s="32">
        <f>DEGREES(ATAN((C45-Xc)/(Yc-E45)))</f>
        <v>14.817302019897296</v>
      </c>
      <c r="H45" s="32">
        <f t="shared" si="1"/>
        <v>0.96674620572477921</v>
      </c>
      <c r="I45" s="32">
        <f t="shared" si="2"/>
        <v>0.25573770491803277</v>
      </c>
      <c r="J45" s="32">
        <f t="shared" si="3"/>
        <v>6.5257277823817317</v>
      </c>
      <c r="K45" s="32">
        <f t="shared" si="4"/>
        <v>64.017389545164789</v>
      </c>
    </row>
    <row r="46" spans="1:13" ht="12.75" customHeight="1" x14ac:dyDescent="0.2">
      <c r="B46" s="61">
        <v>5</v>
      </c>
      <c r="C46" s="32">
        <f t="shared" si="5"/>
        <v>10.53</v>
      </c>
      <c r="D46" s="32">
        <f>IF(C46&lt;=Xcrest,C46*(Vc/Hc),H)</f>
        <v>6.1</v>
      </c>
      <c r="E46" s="32">
        <f>Yc-SQRT(Radius^2-(C46-Xc)^2)</f>
        <v>-0.54257591378296421</v>
      </c>
      <c r="F46" s="32">
        <f t="shared" si="0"/>
        <v>6.6425759137829639</v>
      </c>
      <c r="G46" s="32">
        <f>DEGREES(ATAN((C46-Xc)/(Yc-E46)))</f>
        <v>30.762156112836617</v>
      </c>
      <c r="H46" s="32">
        <f t="shared" si="1"/>
        <v>0.85929791407464085</v>
      </c>
      <c r="I46" s="32">
        <f t="shared" si="2"/>
        <v>0.51147540983606543</v>
      </c>
      <c r="J46" s="32">
        <f t="shared" si="3"/>
        <v>5.5425759137829642</v>
      </c>
      <c r="K46" s="32">
        <f t="shared" si="4"/>
        <v>54.372669714210879</v>
      </c>
    </row>
    <row r="47" spans="1:13" ht="12.75" customHeight="1" x14ac:dyDescent="0.2">
      <c r="B47" s="7" t="str">
        <f>IF(MIN(F42:F46)&lt;0, "GEOMETRY ERROR! The slip circle is invalid (z &lt; 0). Adjust Xc or Yc multipliers.", "Geometry assumptions are valid")</f>
        <v>Geometry assumptions are valid</v>
      </c>
    </row>
    <row r="48" spans="1:13" ht="12.75" customHeight="1" x14ac:dyDescent="0.2"/>
    <row r="49" spans="3:7" ht="12.75" customHeight="1" x14ac:dyDescent="0.2"/>
    <row r="50" spans="3:7" ht="12.75" customHeight="1" x14ac:dyDescent="0.2">
      <c r="C50" s="4" t="s">
        <v>80</v>
      </c>
    </row>
    <row r="51" spans="3:7" ht="12.75" customHeight="1" x14ac:dyDescent="0.2"/>
    <row r="52" spans="3:7" ht="12.75" customHeight="1" x14ac:dyDescent="0.2">
      <c r="D52" s="47" t="s">
        <v>94</v>
      </c>
    </row>
    <row r="53" spans="3:7" ht="12.75" customHeight="1" x14ac:dyDescent="0.2">
      <c r="D53" s="47"/>
    </row>
    <row r="54" spans="3:7" ht="12.75" customHeight="1" x14ac:dyDescent="0.2">
      <c r="E54" s="47" t="s">
        <v>95</v>
      </c>
    </row>
    <row r="55" spans="3:7" ht="12.75" customHeight="1" x14ac:dyDescent="0.2">
      <c r="E55" s="48" t="s">
        <v>62</v>
      </c>
      <c r="F55" s="66">
        <f>'Conventional Method (DA1-C1)'!C38</f>
        <v>1.2294226106199937</v>
      </c>
      <c r="G55" s="69" t="str">
        <f>'Conventional Method (DA1-C1)'!$D$38</f>
        <v>SAFE. Slope is stable</v>
      </c>
    </row>
    <row r="56" spans="3:7" ht="12.75" customHeight="1" x14ac:dyDescent="0.2"/>
    <row r="57" spans="3:7" ht="12.75" customHeight="1" x14ac:dyDescent="0.2">
      <c r="E57" s="47" t="s">
        <v>95</v>
      </c>
    </row>
    <row r="58" spans="3:7" ht="12.75" customHeight="1" x14ac:dyDescent="0.2">
      <c r="E58" s="48" t="s">
        <v>62</v>
      </c>
      <c r="F58" s="66">
        <f>'Conventional Method (DA1-C2)'!C38</f>
        <v>1.2066678735718099</v>
      </c>
      <c r="G58" s="69" t="str">
        <f>'Conventional Method (DA1-C2)'!$D$38</f>
        <v>SAFE. Slope is stable</v>
      </c>
    </row>
    <row r="59" spans="3:7" ht="12.75" customHeight="1" x14ac:dyDescent="0.2"/>
    <row r="60" spans="3:7" ht="12.75" customHeight="1" x14ac:dyDescent="0.2"/>
    <row r="61" spans="3:7" ht="12.75" customHeight="1" x14ac:dyDescent="0.2">
      <c r="D61" s="47" t="s">
        <v>97</v>
      </c>
    </row>
    <row r="62" spans="3:7" ht="12.75" customHeight="1" x14ac:dyDescent="0.2"/>
    <row r="63" spans="3:7" ht="12.75" customHeight="1" x14ac:dyDescent="0.2">
      <c r="E63" s="47" t="s">
        <v>95</v>
      </c>
    </row>
    <row r="64" spans="3:7" ht="12.75" customHeight="1" x14ac:dyDescent="0.2">
      <c r="E64" s="48" t="s">
        <v>62</v>
      </c>
      <c r="F64" s="66">
        <f>'Routine Method (DA1-C1)'!$C$49</f>
        <v>1.2527636023568234</v>
      </c>
      <c r="G64" s="69" t="str">
        <f>'Routine Method (DA1-C1)'!$D$49</f>
        <v>SAFE. Slope is stable</v>
      </c>
    </row>
    <row r="65" spans="5:7" ht="12.75" customHeight="1" x14ac:dyDescent="0.2"/>
    <row r="66" spans="5:7" ht="12.75" customHeight="1" x14ac:dyDescent="0.2">
      <c r="E66" s="47" t="s">
        <v>95</v>
      </c>
    </row>
    <row r="67" spans="5:7" ht="12.75" customHeight="1" x14ac:dyDescent="0.2">
      <c r="E67" s="48" t="s">
        <v>62</v>
      </c>
      <c r="F67" s="66">
        <f>'Routine Method (DA1-C2)'!$C$49</f>
        <v>1.219513162075913</v>
      </c>
      <c r="G67" s="69" t="str">
        <f>'Routine Method (DA1-C2)'!$D$49</f>
        <v>SAFE. Slope is stable</v>
      </c>
    </row>
    <row r="68" spans="5:7" ht="12.75" customHeight="1" x14ac:dyDescent="0.2"/>
    <row r="69" spans="5:7" ht="12.75" customHeight="1" x14ac:dyDescent="0.2"/>
    <row r="70" spans="5:7" ht="12.75" customHeight="1" x14ac:dyDescent="0.2"/>
    <row r="71" spans="5:7" ht="12.75" customHeight="1" x14ac:dyDescent="0.2"/>
    <row r="72" spans="5:7" ht="12.75" customHeight="1" x14ac:dyDescent="0.2"/>
    <row r="73" spans="5:7" ht="12.75" customHeight="1" x14ac:dyDescent="0.2"/>
    <row r="74" spans="5:7" ht="12.75" customHeight="1" x14ac:dyDescent="0.2"/>
    <row r="75" spans="5:7" ht="12.75" customHeight="1" x14ac:dyDescent="0.2"/>
    <row r="76" spans="5:7" ht="12.75" customHeight="1" x14ac:dyDescent="0.2"/>
    <row r="77" spans="5:7" ht="12.75" customHeight="1" x14ac:dyDescent="0.2"/>
    <row r="78" spans="5:7" ht="12.75" customHeight="1" x14ac:dyDescent="0.2"/>
    <row r="79" spans="5:7" ht="12.75" customHeight="1" x14ac:dyDescent="0.2"/>
    <row r="80" spans="5:7" ht="12.75" customHeight="1" x14ac:dyDescent="0.2"/>
    <row r="81" ht="12.75" customHeight="1" x14ac:dyDescent="0.2"/>
    <row r="82" ht="12.75" customHeight="1" x14ac:dyDescent="0.2"/>
    <row r="83" ht="12.75" customHeight="1" x14ac:dyDescent="0.2"/>
    <row r="84" ht="12.75" customHeight="1" x14ac:dyDescent="0.2"/>
  </sheetData>
  <mergeCells count="11">
    <mergeCell ref="B10:J16"/>
    <mergeCell ref="B7:J7"/>
    <mergeCell ref="A1:C3"/>
    <mergeCell ref="D1:I1"/>
    <mergeCell ref="J1:K1"/>
    <mergeCell ref="D3:I3"/>
    <mergeCell ref="J3:K3"/>
    <mergeCell ref="A4:C6"/>
    <mergeCell ref="D5:E5"/>
    <mergeCell ref="F5:G5"/>
    <mergeCell ref="I5:J5"/>
  </mergeCells>
  <phoneticPr fontId="3" type="noConversion"/>
  <conditionalFormatting sqref="B47">
    <cfRule type="containsText" dxfId="17" priority="9" operator="containsText" text="ERROR">
      <formula>NOT(ISERROR(SEARCH("ERROR",B47)))</formula>
    </cfRule>
  </conditionalFormatting>
  <conditionalFormatting sqref="C42:C46">
    <cfRule type="expression" dxfId="16" priority="10">
      <formula>$C$46&lt;1</formula>
    </cfRule>
  </conditionalFormatting>
  <conditionalFormatting sqref="F55">
    <cfRule type="expression" dxfId="15" priority="4">
      <formula>$F$55&lt;1</formula>
    </cfRule>
  </conditionalFormatting>
  <conditionalFormatting sqref="F58">
    <cfRule type="expression" dxfId="14" priority="3">
      <formula>$F$58&lt;1</formula>
    </cfRule>
  </conditionalFormatting>
  <conditionalFormatting sqref="F64">
    <cfRule type="expression" dxfId="13" priority="2">
      <formula>$F$64&lt;1</formula>
    </cfRule>
  </conditionalFormatting>
  <conditionalFormatting sqref="F67">
    <cfRule type="expression" dxfId="12" priority="1">
      <formula>$F$67&lt;1</formula>
    </cfRule>
  </conditionalFormatting>
  <conditionalFormatting sqref="G55">
    <cfRule type="containsText" dxfId="11" priority="8" operator="containsText" text="FAILURE">
      <formula>NOT(ISERROR(SEARCH("FAILURE",G55)))</formula>
    </cfRule>
  </conditionalFormatting>
  <conditionalFormatting sqref="G58">
    <cfRule type="containsText" dxfId="10" priority="7" operator="containsText" text="FAILURE">
      <formula>NOT(ISERROR(SEARCH("FAILURE",G58)))</formula>
    </cfRule>
  </conditionalFormatting>
  <conditionalFormatting sqref="G64">
    <cfRule type="containsText" dxfId="9" priority="6" operator="containsText" text="FAILURE">
      <formula>NOT(ISERROR(SEARCH("FAILURE",G64)))</formula>
    </cfRule>
  </conditionalFormatting>
  <conditionalFormatting sqref="G67">
    <cfRule type="containsText" dxfId="8" priority="5" operator="containsText" text="FAILURE">
      <formula>NOT(ISERROR(SEARCH("FAILURE",G67)))</formula>
    </cfRule>
  </conditionalFormatting>
  <pageMargins left="0.25" right="0.25" top="0.75" bottom="0.75" header="0.3" footer="0.3"/>
  <pageSetup paperSize="9" orientation="portrait" horizontalDpi="300" verticalDpi="300" r:id="rId1"/>
  <headerFooter>
    <oddFooter>&amp;L&amp;"Arial,Italic"Disclaimer. This tool follows EC7 conventions. Results are for preliminary use only and must be checked and approved by a suitably qualified engineer before reliance. PHICON accepts no liability without formal verification/approval.</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7DEF-D8EE-4B65-82F2-59B6CD026631}">
  <dimension ref="A1:O43"/>
  <sheetViews>
    <sheetView view="pageBreakPreview" topLeftCell="A22" zoomScale="150" zoomScaleNormal="130" zoomScaleSheetLayoutView="150" workbookViewId="0">
      <selection activeCell="D38" sqref="D38"/>
    </sheetView>
  </sheetViews>
  <sheetFormatPr defaultColWidth="8.85546875" defaultRowHeight="12.75" x14ac:dyDescent="0.2"/>
  <cols>
    <col min="1" max="11" width="9" style="34" customWidth="1"/>
    <col min="12" max="14" width="8.85546875" style="34" customWidth="1"/>
    <col min="15" max="17" width="8.85546875" style="34"/>
    <col min="18" max="18" width="25.28515625" style="34" customWidth="1"/>
    <col min="19" max="19" width="17.28515625" style="34" customWidth="1"/>
    <col min="20" max="16384" width="8.85546875" style="34"/>
  </cols>
  <sheetData>
    <row r="1" spans="1:15" ht="15" customHeight="1" x14ac:dyDescent="0.2">
      <c r="A1" s="85"/>
      <c r="B1" s="85"/>
      <c r="C1" s="86"/>
      <c r="D1" s="87" t="s">
        <v>2</v>
      </c>
      <c r="E1" s="88"/>
      <c r="F1" s="88"/>
      <c r="G1" s="88"/>
      <c r="H1" s="88"/>
      <c r="I1" s="89"/>
      <c r="J1" s="87" t="s">
        <v>3</v>
      </c>
      <c r="K1" s="89"/>
      <c r="O1" s="35"/>
    </row>
    <row r="2" spans="1:15" ht="15" customHeight="1" x14ac:dyDescent="0.2">
      <c r="A2" s="85"/>
      <c r="B2" s="85"/>
      <c r="C2" s="86"/>
      <c r="D2" s="36" t="str">
        <f>Input!D2</f>
        <v>Example Project</v>
      </c>
      <c r="E2" s="37"/>
      <c r="F2" s="37"/>
      <c r="G2" s="37"/>
      <c r="H2" s="37"/>
      <c r="I2" s="38"/>
      <c r="J2" s="36" t="str">
        <f>Input!J2</f>
        <v>Eample Job No.</v>
      </c>
      <c r="K2" s="38"/>
      <c r="O2" s="35"/>
    </row>
    <row r="3" spans="1:15" ht="15" customHeight="1" x14ac:dyDescent="0.2">
      <c r="A3" s="85"/>
      <c r="B3" s="85"/>
      <c r="C3" s="86"/>
      <c r="D3" s="87" t="s">
        <v>6</v>
      </c>
      <c r="E3" s="88"/>
      <c r="F3" s="88"/>
      <c r="G3" s="88"/>
      <c r="H3" s="88"/>
      <c r="I3" s="89"/>
      <c r="J3" s="90" t="s">
        <v>7</v>
      </c>
      <c r="K3" s="91"/>
    </row>
    <row r="4" spans="1:15" ht="15" customHeight="1" x14ac:dyDescent="0.2">
      <c r="A4" s="92" t="s">
        <v>8</v>
      </c>
      <c r="B4" s="93"/>
      <c r="C4" s="94"/>
      <c r="D4" s="36" t="str">
        <f>Input!D4</f>
        <v>Example Structure</v>
      </c>
      <c r="E4" s="37"/>
      <c r="F4" s="37"/>
      <c r="G4" s="37"/>
      <c r="H4" s="37"/>
      <c r="I4" s="38"/>
      <c r="J4" s="36"/>
      <c r="K4" s="38"/>
    </row>
    <row r="5" spans="1:15" ht="15" customHeight="1" x14ac:dyDescent="0.2">
      <c r="A5" s="93"/>
      <c r="B5" s="93"/>
      <c r="C5" s="94"/>
      <c r="D5" s="87" t="s">
        <v>10</v>
      </c>
      <c r="E5" s="89"/>
      <c r="F5" s="87" t="s">
        <v>11</v>
      </c>
      <c r="G5" s="89"/>
      <c r="H5" s="39" t="s">
        <v>12</v>
      </c>
      <c r="I5" s="90" t="s">
        <v>13</v>
      </c>
      <c r="J5" s="91"/>
      <c r="K5" s="40" t="s">
        <v>12</v>
      </c>
    </row>
    <row r="6" spans="1:15" ht="15" customHeight="1" x14ac:dyDescent="0.2">
      <c r="A6" s="93"/>
      <c r="B6" s="93"/>
      <c r="C6" s="94"/>
      <c r="D6" s="41" t="str">
        <f>Input!D6</f>
        <v>Example Client</v>
      </c>
      <c r="E6" s="38"/>
      <c r="F6" s="41" t="str">
        <f>Input!F6</f>
        <v>Example Engineer</v>
      </c>
      <c r="G6" s="38"/>
      <c r="H6" s="42">
        <f ca="1">TODAY()</f>
        <v>46005</v>
      </c>
      <c r="I6" s="41" t="str">
        <f>Input!I6</f>
        <v>Example Checker</v>
      </c>
      <c r="J6" s="38"/>
      <c r="K6" s="42">
        <f ca="1">TODAY()</f>
        <v>46005</v>
      </c>
    </row>
    <row r="7" spans="1:15" ht="12.75" customHeight="1" x14ac:dyDescent="0.2">
      <c r="A7" s="43" t="s">
        <v>17</v>
      </c>
      <c r="B7" s="83" t="s">
        <v>18</v>
      </c>
      <c r="C7" s="83"/>
      <c r="D7" s="84"/>
      <c r="E7" s="84"/>
      <c r="F7" s="84"/>
      <c r="G7" s="84"/>
      <c r="H7" s="84"/>
      <c r="I7" s="84"/>
      <c r="J7" s="84"/>
      <c r="K7" s="44" t="s">
        <v>19</v>
      </c>
    </row>
    <row r="8" spans="1:15" ht="12.95" customHeight="1" x14ac:dyDescent="0.2"/>
    <row r="9" spans="1:15" ht="12.95" customHeight="1" x14ac:dyDescent="0.2">
      <c r="B9" s="45" t="s">
        <v>56</v>
      </c>
    </row>
    <row r="10" spans="1:15" ht="12.95" customHeight="1" x14ac:dyDescent="0.2">
      <c r="B10" s="45" t="s">
        <v>41</v>
      </c>
      <c r="L10" s="46"/>
    </row>
    <row r="11" spans="1:15" ht="12.95" customHeight="1" x14ac:dyDescent="0.2">
      <c r="B11" s="45"/>
    </row>
    <row r="12" spans="1:15" ht="12.95" customHeight="1" x14ac:dyDescent="0.2">
      <c r="B12" s="45"/>
      <c r="C12" s="50" t="s">
        <v>42</v>
      </c>
    </row>
    <row r="13" spans="1:15" ht="12.95" customHeight="1" x14ac:dyDescent="0.2">
      <c r="B13" s="45"/>
      <c r="C13" s="50"/>
      <c r="D13" s="47" t="s">
        <v>43</v>
      </c>
    </row>
    <row r="14" spans="1:15" ht="12.95" customHeight="1" x14ac:dyDescent="0.2">
      <c r="B14" s="45"/>
      <c r="D14" s="48" t="s">
        <v>44</v>
      </c>
      <c r="E14" s="48" t="s">
        <v>45</v>
      </c>
      <c r="F14" s="25">
        <v>1.35</v>
      </c>
    </row>
    <row r="15" spans="1:15" ht="12.95" customHeight="1" x14ac:dyDescent="0.2">
      <c r="B15" s="45"/>
      <c r="D15" s="48" t="s">
        <v>46</v>
      </c>
      <c r="E15" s="48" t="s">
        <v>47</v>
      </c>
      <c r="F15" s="25">
        <v>1.5</v>
      </c>
    </row>
    <row r="16" spans="1:15" ht="12.95" customHeight="1" x14ac:dyDescent="0.2">
      <c r="B16" s="45"/>
      <c r="D16" s="47" t="s">
        <v>48</v>
      </c>
      <c r="E16" s="48"/>
      <c r="F16" s="51"/>
    </row>
    <row r="17" spans="2:9" ht="12.95" customHeight="1" x14ac:dyDescent="0.2">
      <c r="B17" s="45"/>
      <c r="D17" s="48" t="s">
        <v>44</v>
      </c>
      <c r="E17" s="48" t="s">
        <v>49</v>
      </c>
      <c r="F17" s="25">
        <v>0.9</v>
      </c>
    </row>
    <row r="18" spans="2:9" ht="12.95" customHeight="1" x14ac:dyDescent="0.2">
      <c r="B18" s="45"/>
      <c r="D18" s="48" t="s">
        <v>46</v>
      </c>
      <c r="E18" s="48" t="s">
        <v>50</v>
      </c>
      <c r="F18" s="49">
        <v>0</v>
      </c>
    </row>
    <row r="19" spans="2:9" ht="12.95" customHeight="1" x14ac:dyDescent="0.2">
      <c r="B19" s="45"/>
      <c r="C19" s="50"/>
      <c r="D19" s="47" t="s">
        <v>51</v>
      </c>
    </row>
    <row r="20" spans="2:9" ht="12.95" customHeight="1" x14ac:dyDescent="0.2">
      <c r="B20" s="45"/>
      <c r="C20" s="50"/>
      <c r="D20" s="48" t="s">
        <v>52</v>
      </c>
      <c r="E20" s="48" t="s">
        <v>23</v>
      </c>
      <c r="F20" s="25">
        <v>1</v>
      </c>
    </row>
    <row r="21" spans="2:9" ht="12.95" customHeight="1" x14ac:dyDescent="0.2">
      <c r="B21" s="45"/>
      <c r="C21" s="50"/>
      <c r="D21" s="48" t="s">
        <v>53</v>
      </c>
      <c r="E21" s="48" t="s">
        <v>54</v>
      </c>
      <c r="F21" s="25">
        <v>1</v>
      </c>
    </row>
    <row r="22" spans="2:9" ht="12.95" customHeight="1" x14ac:dyDescent="0.2">
      <c r="D22" s="3" t="s">
        <v>25</v>
      </c>
      <c r="E22" s="52" t="s">
        <v>26</v>
      </c>
      <c r="F22" s="25">
        <v>1</v>
      </c>
    </row>
    <row r="23" spans="2:9" ht="12.75" customHeight="1" x14ac:dyDescent="0.2"/>
    <row r="24" spans="2:9" ht="12.75" customHeight="1" x14ac:dyDescent="0.2">
      <c r="C24" s="24" t="s">
        <v>22</v>
      </c>
      <c r="D24" s="5"/>
      <c r="E24" s="5"/>
      <c r="F24" s="5"/>
    </row>
    <row r="25" spans="2:9" ht="12.75" customHeight="1" x14ac:dyDescent="0.2">
      <c r="D25" s="3" t="s">
        <v>0</v>
      </c>
      <c r="E25" s="3" t="s">
        <v>75</v>
      </c>
      <c r="F25" s="54">
        <f>DEGREES(ATAN((TAN(RADIANS(Phi))/gammaPhi)))</f>
        <v>20</v>
      </c>
      <c r="G25" s="5" t="s">
        <v>1</v>
      </c>
    </row>
    <row r="26" spans="2:9" ht="12.75" customHeight="1" x14ac:dyDescent="0.2">
      <c r="D26" s="3" t="s">
        <v>34</v>
      </c>
      <c r="E26" s="3" t="s">
        <v>35</v>
      </c>
      <c r="F26" s="54">
        <f>Cohesion/gammaC</f>
        <v>12</v>
      </c>
      <c r="G26" s="5" t="s">
        <v>36</v>
      </c>
    </row>
    <row r="27" spans="2:9" ht="12.75" customHeight="1" x14ac:dyDescent="0.2">
      <c r="D27" s="3" t="s">
        <v>25</v>
      </c>
      <c r="E27" s="3" t="s">
        <v>20</v>
      </c>
      <c r="F27" s="54">
        <f>gammasoil/F22</f>
        <v>19.2</v>
      </c>
      <c r="G27" s="5" t="s">
        <v>21</v>
      </c>
    </row>
    <row r="28" spans="2:9" ht="12.75" customHeight="1" x14ac:dyDescent="0.2"/>
    <row r="29" spans="2:9" ht="12.75" customHeight="1" x14ac:dyDescent="0.2">
      <c r="C29" s="24" t="s">
        <v>81</v>
      </c>
    </row>
    <row r="30" spans="2:9" ht="73.5" customHeight="1" x14ac:dyDescent="0.2">
      <c r="B30" s="65" t="s">
        <v>64</v>
      </c>
      <c r="C30" s="65" t="s">
        <v>87</v>
      </c>
      <c r="D30" s="65" t="s">
        <v>88</v>
      </c>
      <c r="E30" s="65" t="s">
        <v>89</v>
      </c>
      <c r="F30" s="65" t="s">
        <v>90</v>
      </c>
      <c r="G30" s="65" t="s">
        <v>91</v>
      </c>
      <c r="H30" s="65" t="s">
        <v>61</v>
      </c>
      <c r="I30" s="65" t="s">
        <v>92</v>
      </c>
    </row>
    <row r="31" spans="2:9" ht="12.75" customHeight="1" x14ac:dyDescent="0.2">
      <c r="B31" s="33">
        <f>Input!B42</f>
        <v>1</v>
      </c>
      <c r="C31" s="55">
        <f>$F$27*Input!F42*(B/COUNT($B$31:$B$35))*gammaG</f>
        <v>74.652146030554192</v>
      </c>
      <c r="D31" s="55">
        <f>C31*Input!I42</f>
        <v>-38.182736986119508</v>
      </c>
      <c r="E31" s="55">
        <f>Input!K42*(B/COUNT($B$31:$B$35))*gammaG</f>
        <v>171.76326362719217</v>
      </c>
      <c r="F31" s="55">
        <f>C31*Input!H42-E31</f>
        <v>-107.61483026194148</v>
      </c>
      <c r="G31" s="55">
        <f>$F$26*(B/COUNT($B$31:$B$35))+F31*TAN(RADIANS($F$25))</f>
        <v>-11.088594980956444</v>
      </c>
      <c r="H31" s="55">
        <f>Input!H42+Input!I42*TAN(RADIANS($F$25))</f>
        <v>0.6731360893352063</v>
      </c>
      <c r="I31" s="55">
        <f>G31/H31</f>
        <v>-16.473035923400889</v>
      </c>
    </row>
    <row r="32" spans="2:9" ht="12.75" customHeight="1" x14ac:dyDescent="0.2">
      <c r="B32" s="33">
        <f>Input!B43</f>
        <v>2</v>
      </c>
      <c r="C32" s="55">
        <f>$F$27*Input!F43*(B/COUNT($B$31:$B$35))*gammaG</f>
        <v>217.76985498041915</v>
      </c>
      <c r="D32" s="55">
        <f>C32*Input!I43</f>
        <v>-55.691962913025222</v>
      </c>
      <c r="E32" s="55">
        <f>Input!K43*(B/COUNT($B$31:$B$35))*gammaG</f>
        <v>202.23093357317555</v>
      </c>
      <c r="F32" s="55">
        <f>C32*Input!H43-E32</f>
        <v>8.2972474503800697</v>
      </c>
      <c r="G32" s="55">
        <f>$F$26*(B/COUNT($B$31:$B$35))+F32*TAN(RADIANS($F$25))</f>
        <v>31.099951098279483</v>
      </c>
      <c r="H32" s="55">
        <f>Input!H43+Input!I43*TAN(RADIANS($F$25))</f>
        <v>0.87366529335506193</v>
      </c>
      <c r="I32" s="55">
        <f t="shared" ref="I32:I35" si="0">G32/H32</f>
        <v>35.597100325284764</v>
      </c>
    </row>
    <row r="33" spans="2:9" ht="12.75" customHeight="1" x14ac:dyDescent="0.2">
      <c r="B33" s="33">
        <f>Input!B44</f>
        <v>3</v>
      </c>
      <c r="C33" s="55">
        <f>$F$27*Input!F44*(B/COUNT($B$31:$B$35))*gammaG</f>
        <v>319.71161223529413</v>
      </c>
      <c r="D33" s="55">
        <f>C33*Input!I44</f>
        <v>0</v>
      </c>
      <c r="E33" s="55">
        <f>Input!K44*(B/COUNT($B$31:$B$35))*gammaG</f>
        <v>211.66026570000005</v>
      </c>
      <c r="F33" s="55">
        <f>C33*Input!H44-E33</f>
        <v>108.05134653529407</v>
      </c>
      <c r="G33" s="55">
        <f>$F$26*(B/COUNT($B$31:$B$35))+F33*TAN(RADIANS($F$25))</f>
        <v>67.407473911229602</v>
      </c>
      <c r="H33" s="55">
        <f>Input!H44+Input!I44*TAN(RADIANS($F$25))</f>
        <v>1</v>
      </c>
      <c r="I33" s="55">
        <f t="shared" si="0"/>
        <v>67.407473911229602</v>
      </c>
    </row>
    <row r="34" spans="2:9" ht="12.75" customHeight="1" x14ac:dyDescent="0.2">
      <c r="B34" s="33">
        <f>Input!B45</f>
        <v>4</v>
      </c>
      <c r="C34" s="55">
        <f>$F$27*Input!F45*(B/COUNT($B$31:$B$35))*gammaG</f>
        <v>384.74344556865447</v>
      </c>
      <c r="D34" s="55">
        <f>C34*Input!I45</f>
        <v>98.393405751983764</v>
      </c>
      <c r="E34" s="55">
        <f>Input!K45*(B/COUNT($B$31:$B$35))*gammaG</f>
        <v>202.23093357317555</v>
      </c>
      <c r="F34" s="55">
        <f>C34*Input!H45-E34</f>
        <v>169.71833260779925</v>
      </c>
      <c r="G34" s="55">
        <f>$F$26*(B/COUNT($B$31:$B$35))+F34*TAN(RADIANS($F$25))</f>
        <v>89.852421278529931</v>
      </c>
      <c r="H34" s="55">
        <f>Input!H45+Input!I45*TAN(RADIANS($F$25))</f>
        <v>1.0598271180944965</v>
      </c>
      <c r="I34" s="55">
        <f t="shared" si="0"/>
        <v>84.780262501755018</v>
      </c>
    </row>
    <row r="35" spans="2:9" ht="12.75" customHeight="1" x14ac:dyDescent="0.2">
      <c r="B35" s="33">
        <f>Input!B46</f>
        <v>5</v>
      </c>
      <c r="C35" s="55">
        <f>$F$27*Input!F46*(B/COUNT($B$31:$B$35))*gammaG</f>
        <v>402.89082838349532</v>
      </c>
      <c r="D35" s="55">
        <f>C35*Input!I46</f>
        <v>206.06875156664017</v>
      </c>
      <c r="E35" s="55">
        <f>Input!K46*(B/COUNT($B$31:$B$35))*gammaG</f>
        <v>171.76326362719217</v>
      </c>
      <c r="F35" s="55">
        <f>C35*Input!H46-E35</f>
        <v>174.43998480254945</v>
      </c>
      <c r="G35" s="55">
        <f>$F$26*(B/COUNT($B$31:$B$35))+F35*TAN(RADIANS($F$25))</f>
        <v>91.570962133976707</v>
      </c>
      <c r="H35" s="55">
        <f>Input!H46+Input!I46*TAN(RADIANS($F$25))</f>
        <v>1.0454597388140754</v>
      </c>
      <c r="I35" s="55">
        <f t="shared" si="0"/>
        <v>87.589180849614422</v>
      </c>
    </row>
    <row r="36" spans="2:9" ht="12.75" customHeight="1" x14ac:dyDescent="0.2">
      <c r="C36" s="62" t="s">
        <v>60</v>
      </c>
      <c r="D36" s="58">
        <f>SUM(D31:D35)</f>
        <v>210.58745741947922</v>
      </c>
      <c r="E36" s="56"/>
      <c r="F36" s="56"/>
      <c r="G36" s="56"/>
      <c r="H36" s="62" t="s">
        <v>60</v>
      </c>
      <c r="I36" s="58">
        <f>SUM(I31:I35)</f>
        <v>258.90098166448291</v>
      </c>
    </row>
    <row r="37" spans="2:9" ht="12.75" customHeight="1" x14ac:dyDescent="0.2"/>
    <row r="38" spans="2:9" ht="12.75" customHeight="1" x14ac:dyDescent="0.2">
      <c r="B38" s="48" t="s">
        <v>62</v>
      </c>
      <c r="C38" s="67">
        <f>I36/D36</f>
        <v>1.2294226106199937</v>
      </c>
      <c r="D38" s="69" t="str">
        <f>IF(C38&lt;1,"FAILURE! Slope is unstable","SAFE. Slope is stable")</f>
        <v>SAFE. Slope is stable</v>
      </c>
    </row>
    <row r="39" spans="2:9" ht="12.75" customHeight="1" x14ac:dyDescent="0.2"/>
    <row r="40" spans="2:9" ht="12.75" customHeight="1" x14ac:dyDescent="0.2"/>
    <row r="41" spans="2:9" ht="12.75" customHeight="1" x14ac:dyDescent="0.2"/>
    <row r="42" spans="2:9" ht="12.75" customHeight="1" x14ac:dyDescent="0.2"/>
    <row r="43" spans="2:9" ht="12.75" customHeight="1" x14ac:dyDescent="0.2"/>
  </sheetData>
  <mergeCells count="10">
    <mergeCell ref="B7:J7"/>
    <mergeCell ref="A1:C3"/>
    <mergeCell ref="D1:I1"/>
    <mergeCell ref="J1:K1"/>
    <mergeCell ref="D3:I3"/>
    <mergeCell ref="J3:K3"/>
    <mergeCell ref="A4:C6"/>
    <mergeCell ref="D5:E5"/>
    <mergeCell ref="F5:G5"/>
    <mergeCell ref="I5:J5"/>
  </mergeCells>
  <conditionalFormatting sqref="C38">
    <cfRule type="expression" dxfId="7" priority="1">
      <formula>$C$38&lt;1</formula>
    </cfRule>
  </conditionalFormatting>
  <conditionalFormatting sqref="D38">
    <cfRule type="containsText" dxfId="6" priority="2" operator="containsText" text="FAILURE">
      <formula>NOT(ISERROR(SEARCH("FAILURE",D38)))</formula>
    </cfRule>
  </conditionalFormatting>
  <pageMargins left="0.25" right="0.25"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E235D-1864-4DC3-B16C-8147117D5690}">
  <dimension ref="A1:O43"/>
  <sheetViews>
    <sheetView topLeftCell="A20" zoomScale="130" zoomScaleNormal="130" zoomScaleSheetLayoutView="150" workbookViewId="0">
      <selection activeCell="L40" sqref="L40"/>
    </sheetView>
  </sheetViews>
  <sheetFormatPr defaultColWidth="8.85546875" defaultRowHeight="12.75" x14ac:dyDescent="0.2"/>
  <cols>
    <col min="1" max="11" width="9" style="34" customWidth="1"/>
    <col min="12" max="14" width="8.85546875" style="34" customWidth="1"/>
    <col min="15" max="17" width="8.85546875" style="34"/>
    <col min="18" max="18" width="25.28515625" style="34" customWidth="1"/>
    <col min="19" max="19" width="17.28515625" style="34" customWidth="1"/>
    <col min="20" max="16384" width="8.85546875" style="34"/>
  </cols>
  <sheetData>
    <row r="1" spans="1:15" ht="15" customHeight="1" x14ac:dyDescent="0.2">
      <c r="A1" s="85"/>
      <c r="B1" s="85"/>
      <c r="C1" s="86"/>
      <c r="D1" s="87" t="s">
        <v>2</v>
      </c>
      <c r="E1" s="88"/>
      <c r="F1" s="88"/>
      <c r="G1" s="88"/>
      <c r="H1" s="88"/>
      <c r="I1" s="89"/>
      <c r="J1" s="87" t="s">
        <v>3</v>
      </c>
      <c r="K1" s="89"/>
      <c r="O1" s="35"/>
    </row>
    <row r="2" spans="1:15" ht="15" customHeight="1" x14ac:dyDescent="0.2">
      <c r="A2" s="85"/>
      <c r="B2" s="85"/>
      <c r="C2" s="86"/>
      <c r="D2" s="36" t="str">
        <f>Input!D2</f>
        <v>Example Project</v>
      </c>
      <c r="E2" s="37"/>
      <c r="F2" s="37"/>
      <c r="G2" s="37"/>
      <c r="H2" s="37"/>
      <c r="I2" s="38"/>
      <c r="J2" s="36" t="str">
        <f>Input!J2</f>
        <v>Eample Job No.</v>
      </c>
      <c r="K2" s="38"/>
      <c r="O2" s="35"/>
    </row>
    <row r="3" spans="1:15" ht="15" customHeight="1" x14ac:dyDescent="0.2">
      <c r="A3" s="85"/>
      <c r="B3" s="85"/>
      <c r="C3" s="86"/>
      <c r="D3" s="87" t="s">
        <v>6</v>
      </c>
      <c r="E3" s="88"/>
      <c r="F3" s="88"/>
      <c r="G3" s="88"/>
      <c r="H3" s="88"/>
      <c r="I3" s="89"/>
      <c r="J3" s="90" t="s">
        <v>7</v>
      </c>
      <c r="K3" s="91"/>
    </row>
    <row r="4" spans="1:15" ht="15" customHeight="1" x14ac:dyDescent="0.2">
      <c r="A4" s="92" t="s">
        <v>8</v>
      </c>
      <c r="B4" s="93"/>
      <c r="C4" s="94"/>
      <c r="D4" s="36" t="str">
        <f>Input!D4</f>
        <v>Example Structure</v>
      </c>
      <c r="E4" s="37"/>
      <c r="F4" s="37"/>
      <c r="G4" s="37"/>
      <c r="H4" s="37"/>
      <c r="I4" s="38"/>
      <c r="J4" s="36"/>
      <c r="K4" s="38"/>
    </row>
    <row r="5" spans="1:15" ht="15" customHeight="1" x14ac:dyDescent="0.2">
      <c r="A5" s="93"/>
      <c r="B5" s="93"/>
      <c r="C5" s="94"/>
      <c r="D5" s="87" t="s">
        <v>10</v>
      </c>
      <c r="E5" s="89"/>
      <c r="F5" s="87" t="s">
        <v>11</v>
      </c>
      <c r="G5" s="89"/>
      <c r="H5" s="39" t="s">
        <v>12</v>
      </c>
      <c r="I5" s="90" t="s">
        <v>13</v>
      </c>
      <c r="J5" s="91"/>
      <c r="K5" s="40" t="s">
        <v>12</v>
      </c>
    </row>
    <row r="6" spans="1:15" ht="15" customHeight="1" x14ac:dyDescent="0.2">
      <c r="A6" s="93"/>
      <c r="B6" s="93"/>
      <c r="C6" s="94"/>
      <c r="D6" s="41" t="str">
        <f>Input!D6</f>
        <v>Example Client</v>
      </c>
      <c r="E6" s="38"/>
      <c r="F6" s="41" t="str">
        <f>Input!F6</f>
        <v>Example Engineer</v>
      </c>
      <c r="G6" s="38"/>
      <c r="H6" s="42">
        <f ca="1">TODAY()</f>
        <v>46005</v>
      </c>
      <c r="I6" s="41" t="str">
        <f>Input!I6</f>
        <v>Example Checker</v>
      </c>
      <c r="J6" s="38"/>
      <c r="K6" s="42">
        <f ca="1">TODAY()</f>
        <v>46005</v>
      </c>
    </row>
    <row r="7" spans="1:15" ht="12.75" customHeight="1" x14ac:dyDescent="0.2">
      <c r="A7" s="43" t="s">
        <v>17</v>
      </c>
      <c r="B7" s="83" t="s">
        <v>18</v>
      </c>
      <c r="C7" s="83"/>
      <c r="D7" s="84"/>
      <c r="E7" s="84"/>
      <c r="F7" s="84"/>
      <c r="G7" s="84"/>
      <c r="H7" s="84"/>
      <c r="I7" s="84"/>
      <c r="J7" s="84"/>
      <c r="K7" s="44" t="s">
        <v>19</v>
      </c>
    </row>
    <row r="8" spans="1:15" ht="12.95" customHeight="1" x14ac:dyDescent="0.2"/>
    <row r="9" spans="1:15" ht="12.95" customHeight="1" x14ac:dyDescent="0.2">
      <c r="B9" s="45" t="s">
        <v>56</v>
      </c>
    </row>
    <row r="10" spans="1:15" ht="12.95" customHeight="1" x14ac:dyDescent="0.2">
      <c r="B10" s="45" t="s">
        <v>55</v>
      </c>
      <c r="L10" s="46"/>
    </row>
    <row r="11" spans="1:15" ht="12.95" customHeight="1" x14ac:dyDescent="0.2">
      <c r="B11" s="45"/>
    </row>
    <row r="12" spans="1:15" ht="12.95" customHeight="1" x14ac:dyDescent="0.2">
      <c r="B12" s="45"/>
      <c r="C12" s="50" t="s">
        <v>42</v>
      </c>
    </row>
    <row r="13" spans="1:15" ht="12.95" customHeight="1" x14ac:dyDescent="0.2">
      <c r="B13" s="45"/>
      <c r="C13" s="50"/>
      <c r="D13" s="47" t="s">
        <v>43</v>
      </c>
    </row>
    <row r="14" spans="1:15" ht="12.95" customHeight="1" x14ac:dyDescent="0.2">
      <c r="B14" s="45"/>
      <c r="D14" s="48" t="s">
        <v>44</v>
      </c>
      <c r="E14" s="48" t="s">
        <v>45</v>
      </c>
      <c r="F14" s="25">
        <v>1</v>
      </c>
    </row>
    <row r="15" spans="1:15" ht="12.95" customHeight="1" x14ac:dyDescent="0.2">
      <c r="B15" s="45"/>
      <c r="D15" s="48" t="s">
        <v>46</v>
      </c>
      <c r="E15" s="48" t="s">
        <v>47</v>
      </c>
      <c r="F15" s="25">
        <v>1.3</v>
      </c>
    </row>
    <row r="16" spans="1:15" ht="12.95" customHeight="1" x14ac:dyDescent="0.2">
      <c r="B16" s="45"/>
      <c r="D16" s="47" t="s">
        <v>48</v>
      </c>
      <c r="E16" s="48"/>
      <c r="F16" s="51"/>
    </row>
    <row r="17" spans="2:9" ht="12.95" customHeight="1" x14ac:dyDescent="0.2">
      <c r="B17" s="45"/>
      <c r="D17" s="48" t="s">
        <v>44</v>
      </c>
      <c r="E17" s="48" t="s">
        <v>49</v>
      </c>
      <c r="F17" s="25">
        <v>1</v>
      </c>
    </row>
    <row r="18" spans="2:9" ht="12.95" customHeight="1" x14ac:dyDescent="0.2">
      <c r="B18" s="45"/>
      <c r="D18" s="48" t="s">
        <v>46</v>
      </c>
      <c r="E18" s="48" t="s">
        <v>50</v>
      </c>
      <c r="F18" s="49">
        <v>0</v>
      </c>
    </row>
    <row r="19" spans="2:9" ht="12.95" customHeight="1" x14ac:dyDescent="0.2">
      <c r="B19" s="45"/>
      <c r="C19" s="50"/>
      <c r="D19" s="47" t="s">
        <v>51</v>
      </c>
    </row>
    <row r="20" spans="2:9" ht="12.95" customHeight="1" x14ac:dyDescent="0.2">
      <c r="B20" s="45"/>
      <c r="C20" s="50"/>
      <c r="D20" s="48" t="s">
        <v>52</v>
      </c>
      <c r="E20" s="48" t="s">
        <v>23</v>
      </c>
      <c r="F20" s="25">
        <v>1.25</v>
      </c>
    </row>
    <row r="21" spans="2:9" ht="12.95" customHeight="1" x14ac:dyDescent="0.2">
      <c r="B21" s="45"/>
      <c r="C21" s="50"/>
      <c r="D21" s="48" t="s">
        <v>53</v>
      </c>
      <c r="E21" s="48" t="s">
        <v>54</v>
      </c>
      <c r="F21" s="25">
        <v>1.25</v>
      </c>
    </row>
    <row r="22" spans="2:9" ht="12.95" customHeight="1" x14ac:dyDescent="0.2">
      <c r="D22" s="3" t="s">
        <v>25</v>
      </c>
      <c r="E22" s="52" t="s">
        <v>26</v>
      </c>
      <c r="F22" s="25">
        <v>1</v>
      </c>
    </row>
    <row r="23" spans="2:9" ht="12.75" customHeight="1" x14ac:dyDescent="0.2"/>
    <row r="24" spans="2:9" ht="12.75" customHeight="1" x14ac:dyDescent="0.2">
      <c r="C24" s="24" t="s">
        <v>22</v>
      </c>
      <c r="D24" s="5"/>
      <c r="E24" s="5"/>
      <c r="F24" s="5"/>
    </row>
    <row r="25" spans="2:9" ht="12.75" customHeight="1" x14ac:dyDescent="0.2">
      <c r="D25" s="3" t="s">
        <v>0</v>
      </c>
      <c r="E25" s="3" t="s">
        <v>75</v>
      </c>
      <c r="F25" s="54">
        <f>DEGREES(ATAN((TAN(RADIANS(Phi))/gammaPhi)))</f>
        <v>16.234302131351505</v>
      </c>
      <c r="G25" s="5" t="s">
        <v>1</v>
      </c>
    </row>
    <row r="26" spans="2:9" ht="12.75" customHeight="1" x14ac:dyDescent="0.2">
      <c r="D26" s="3" t="s">
        <v>34</v>
      </c>
      <c r="E26" s="3" t="s">
        <v>35</v>
      </c>
      <c r="F26" s="54">
        <f>Cohesion/gammaC</f>
        <v>9.6</v>
      </c>
      <c r="G26" s="5" t="s">
        <v>36</v>
      </c>
    </row>
    <row r="27" spans="2:9" ht="12.75" customHeight="1" x14ac:dyDescent="0.2">
      <c r="D27" s="3" t="s">
        <v>25</v>
      </c>
      <c r="E27" s="3" t="s">
        <v>20</v>
      </c>
      <c r="F27" s="54">
        <f>gammasoil/F22</f>
        <v>19.2</v>
      </c>
      <c r="G27" s="5" t="s">
        <v>21</v>
      </c>
    </row>
    <row r="28" spans="2:9" ht="12.75" customHeight="1" x14ac:dyDescent="0.2"/>
    <row r="29" spans="2:9" ht="12.75" customHeight="1" x14ac:dyDescent="0.2">
      <c r="C29" s="24" t="s">
        <v>81</v>
      </c>
    </row>
    <row r="30" spans="2:9" ht="73.5" customHeight="1" x14ac:dyDescent="0.2">
      <c r="B30" s="65" t="s">
        <v>64</v>
      </c>
      <c r="C30" s="65" t="s">
        <v>87</v>
      </c>
      <c r="D30" s="65" t="s">
        <v>88</v>
      </c>
      <c r="E30" s="65" t="s">
        <v>89</v>
      </c>
      <c r="F30" s="65" t="s">
        <v>90</v>
      </c>
      <c r="G30" s="65" t="s">
        <v>91</v>
      </c>
      <c r="H30" s="65" t="s">
        <v>61</v>
      </c>
      <c r="I30" s="65" t="s">
        <v>92</v>
      </c>
    </row>
    <row r="31" spans="2:9" ht="12.75" customHeight="1" x14ac:dyDescent="0.2">
      <c r="B31" s="33">
        <f>Input!B42</f>
        <v>1</v>
      </c>
      <c r="C31" s="55">
        <f>$F$27*Input!F42*(B/COUNT($B$31:$B$35))*gammaG</f>
        <v>55.297885948558658</v>
      </c>
      <c r="D31" s="55">
        <f>C31*Input!I42</f>
        <v>-28.283508878607044</v>
      </c>
      <c r="E31" s="55">
        <f>Input!K42*(B/COUNT($B$31:$B$35))*gammaG</f>
        <v>127.23204713125345</v>
      </c>
      <c r="F31" s="55">
        <f>C31*Input!H42-E31</f>
        <v>-79.714689082919605</v>
      </c>
      <c r="G31" s="55">
        <f>$F$26*(B/COUNT($B$31:$B$35))+F31*TAN(RADIANS($F$25))</f>
        <v>-0.74701924797419039</v>
      </c>
      <c r="H31" s="55">
        <f>Input!H42+Input!I42*TAN(RADIANS($F$25))</f>
        <v>0.71036845428309314</v>
      </c>
      <c r="I31" s="55">
        <f>G31/H31</f>
        <v>-1.0515940614622103</v>
      </c>
    </row>
    <row r="32" spans="2:9" ht="12.75" customHeight="1" x14ac:dyDescent="0.2">
      <c r="B32" s="33">
        <f>Input!B43</f>
        <v>2</v>
      </c>
      <c r="C32" s="55">
        <f>$F$27*Input!F43*(B/COUNT($B$31:$B$35))*gammaG</f>
        <v>161.31100368919937</v>
      </c>
      <c r="D32" s="55">
        <f>C32*Input!I43</f>
        <v>-41.253305861500166</v>
      </c>
      <c r="E32" s="55">
        <f>Input!K43*(B/COUNT($B$31:$B$35))*gammaG</f>
        <v>149.80069153568559</v>
      </c>
      <c r="F32" s="55">
        <f>C32*Input!H43-E32</f>
        <v>6.1461092225037532</v>
      </c>
      <c r="G32" s="55">
        <f>$F$26*(B/COUNT($B$31:$B$35))+F32*TAN(RADIANS($F$25))</f>
        <v>24.253600650832286</v>
      </c>
      <c r="H32" s="55">
        <f>Input!H43+Input!I43*TAN(RADIANS($F$25))</f>
        <v>0.8922814758290053</v>
      </c>
      <c r="I32" s="55">
        <f t="shared" ref="I32:I35" si="0">G32/H32</f>
        <v>27.181557958825302</v>
      </c>
    </row>
    <row r="33" spans="2:9" ht="12.75" customHeight="1" x14ac:dyDescent="0.2">
      <c r="B33" s="33">
        <f>Input!B44</f>
        <v>3</v>
      </c>
      <c r="C33" s="55">
        <f>$F$27*Input!F44*(B/COUNT($B$31:$B$35))*gammaG</f>
        <v>236.82341647058823</v>
      </c>
      <c r="D33" s="55">
        <f>C33*Input!I44</f>
        <v>0</v>
      </c>
      <c r="E33" s="55">
        <f>Input!K44*(B/COUNT($B$31:$B$35))*gammaG</f>
        <v>156.78538200000003</v>
      </c>
      <c r="F33" s="55">
        <f>C33*Input!H44-E33</f>
        <v>80.038034470588201</v>
      </c>
      <c r="G33" s="55">
        <f>$F$26*(B/COUNT($B$31:$B$35))+F33*TAN(RADIANS($F$25))</f>
        <v>45.7691697251731</v>
      </c>
      <c r="H33" s="55">
        <f>Input!H44+Input!I44*TAN(RADIANS($F$25))</f>
        <v>1</v>
      </c>
      <c r="I33" s="55">
        <f t="shared" si="0"/>
        <v>45.7691697251731</v>
      </c>
    </row>
    <row r="34" spans="2:9" ht="12.75" customHeight="1" x14ac:dyDescent="0.2">
      <c r="B34" s="33">
        <f>Input!B45</f>
        <v>4</v>
      </c>
      <c r="C34" s="55">
        <f>$F$27*Input!F45*(B/COUNT($B$31:$B$35))*gammaG</f>
        <v>284.99514486566994</v>
      </c>
      <c r="D34" s="55">
        <f>C34*Input!I45</f>
        <v>72.884004260728702</v>
      </c>
      <c r="E34" s="55">
        <f>Input!K45*(B/COUNT($B$31:$B$35))*gammaG</f>
        <v>149.80069153568559</v>
      </c>
      <c r="F34" s="55">
        <f>C34*Input!H45-E34</f>
        <v>125.71728341318465</v>
      </c>
      <c r="G34" s="55">
        <f>$F$26*(B/COUNT($B$31:$B$35))+F34*TAN(RADIANS($F$25))</f>
        <v>59.069879276165899</v>
      </c>
      <c r="H34" s="55">
        <f>Input!H45+Input!I45*TAN(RADIANS($F$25))</f>
        <v>1.041210935620553</v>
      </c>
      <c r="I34" s="55">
        <f t="shared" si="0"/>
        <v>56.731904415660736</v>
      </c>
    </row>
    <row r="35" spans="2:9" ht="12.75" customHeight="1" x14ac:dyDescent="0.2">
      <c r="B35" s="33">
        <f>Input!B46</f>
        <v>5</v>
      </c>
      <c r="C35" s="55">
        <f>$F$27*Input!F46*(B/COUNT($B$31:$B$35))*gammaG</f>
        <v>298.43765065444097</v>
      </c>
      <c r="D35" s="55">
        <f>C35*Input!I46</f>
        <v>152.6435196789927</v>
      </c>
      <c r="E35" s="55">
        <f>Input!K46*(B/COUNT($B$31:$B$35))*gammaG</f>
        <v>127.23204713125345</v>
      </c>
      <c r="F35" s="55">
        <f>C35*Input!H46-E35</f>
        <v>129.21480355744404</v>
      </c>
      <c r="G35" s="55">
        <f>$F$26*(B/COUNT($B$31:$B$35))+F35*TAN(RADIANS($F$25))</f>
        <v>60.08827385717138</v>
      </c>
      <c r="H35" s="55">
        <f>Input!H46+Input!I46*TAN(RADIANS($F$25))</f>
        <v>1.0082273738661884</v>
      </c>
      <c r="I35" s="55">
        <f t="shared" si="0"/>
        <v>59.597939328660075</v>
      </c>
    </row>
    <row r="36" spans="2:9" ht="12.75" customHeight="1" x14ac:dyDescent="0.2">
      <c r="B36" s="56"/>
      <c r="C36" s="62" t="s">
        <v>60</v>
      </c>
      <c r="D36" s="58">
        <f>SUM(D31:D35)</f>
        <v>155.99070919961417</v>
      </c>
      <c r="E36" s="56"/>
      <c r="F36" s="56"/>
      <c r="G36" s="56"/>
      <c r="H36" s="62" t="s">
        <v>60</v>
      </c>
      <c r="I36" s="58">
        <f>SUM(I31:I35)</f>
        <v>188.22897736685701</v>
      </c>
    </row>
    <row r="37" spans="2:9" ht="12.75" customHeight="1" x14ac:dyDescent="0.2"/>
    <row r="38" spans="2:9" ht="12.75" customHeight="1" x14ac:dyDescent="0.2">
      <c r="B38" s="48" t="s">
        <v>62</v>
      </c>
      <c r="C38" s="67">
        <f>I36/D36</f>
        <v>1.2066678735718099</v>
      </c>
      <c r="D38" s="69" t="str">
        <f>IF(C38&lt;1,"FAILURE! Slope is unstable","SAFE. Slope is stable")</f>
        <v>SAFE. Slope is stable</v>
      </c>
    </row>
    <row r="39" spans="2:9" ht="12.75" customHeight="1" x14ac:dyDescent="0.2"/>
    <row r="40" spans="2:9" ht="12.75" customHeight="1" x14ac:dyDescent="0.2"/>
    <row r="41" spans="2:9" ht="12.75" customHeight="1" x14ac:dyDescent="0.2"/>
    <row r="42" spans="2:9" ht="12.75" customHeight="1" x14ac:dyDescent="0.2"/>
    <row r="43" spans="2:9" ht="12.75" customHeight="1" x14ac:dyDescent="0.2"/>
  </sheetData>
  <mergeCells count="10">
    <mergeCell ref="B7:J7"/>
    <mergeCell ref="A1:C3"/>
    <mergeCell ref="D1:I1"/>
    <mergeCell ref="J1:K1"/>
    <mergeCell ref="D3:I3"/>
    <mergeCell ref="J3:K3"/>
    <mergeCell ref="A4:C6"/>
    <mergeCell ref="D5:E5"/>
    <mergeCell ref="F5:G5"/>
    <mergeCell ref="I5:J5"/>
  </mergeCells>
  <conditionalFormatting sqref="C38">
    <cfRule type="expression" dxfId="5" priority="1">
      <formula>$C$38&lt;1</formula>
    </cfRule>
  </conditionalFormatting>
  <conditionalFormatting sqref="D38">
    <cfRule type="containsText" dxfId="4" priority="2" operator="containsText" text="FAILURE">
      <formula>NOT(ISERROR(SEARCH("FAILURE",D38)))</formula>
    </cfRule>
  </conditionalFormatting>
  <pageMargins left="0.25" right="0.25"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FB710-0271-4E85-911A-7564B430BDD1}">
  <dimension ref="A1:O54"/>
  <sheetViews>
    <sheetView view="pageBreakPreview" topLeftCell="A34" zoomScale="150" zoomScaleNormal="130" zoomScaleSheetLayoutView="150" workbookViewId="0">
      <selection activeCell="F53" sqref="F53"/>
    </sheetView>
  </sheetViews>
  <sheetFormatPr defaultColWidth="8.85546875" defaultRowHeight="12.75" x14ac:dyDescent="0.2"/>
  <cols>
    <col min="1" max="11" width="9" style="34" customWidth="1"/>
    <col min="12" max="14" width="8.85546875" style="34" customWidth="1"/>
    <col min="15" max="17" width="8.85546875" style="34"/>
    <col min="18" max="18" width="25.28515625" style="34" customWidth="1"/>
    <col min="19" max="19" width="17.28515625" style="34" customWidth="1"/>
    <col min="20" max="16384" width="8.85546875" style="34"/>
  </cols>
  <sheetData>
    <row r="1" spans="1:15" ht="15" customHeight="1" x14ac:dyDescent="0.2">
      <c r="A1" s="85"/>
      <c r="B1" s="85"/>
      <c r="C1" s="86"/>
      <c r="D1" s="87" t="s">
        <v>2</v>
      </c>
      <c r="E1" s="88"/>
      <c r="F1" s="88"/>
      <c r="G1" s="88"/>
      <c r="H1" s="88"/>
      <c r="I1" s="89"/>
      <c r="J1" s="87" t="s">
        <v>3</v>
      </c>
      <c r="K1" s="89"/>
      <c r="O1" s="35"/>
    </row>
    <row r="2" spans="1:15" ht="15" customHeight="1" x14ac:dyDescent="0.2">
      <c r="A2" s="85"/>
      <c r="B2" s="85"/>
      <c r="C2" s="86"/>
      <c r="D2" s="36" t="str">
        <f>Input!D2</f>
        <v>Example Project</v>
      </c>
      <c r="E2" s="37"/>
      <c r="F2" s="37"/>
      <c r="G2" s="37"/>
      <c r="H2" s="37"/>
      <c r="I2" s="38"/>
      <c r="J2" s="36" t="str">
        <f>Input!J2</f>
        <v>Eample Job No.</v>
      </c>
      <c r="K2" s="38"/>
      <c r="O2" s="35"/>
    </row>
    <row r="3" spans="1:15" ht="15" customHeight="1" x14ac:dyDescent="0.2">
      <c r="A3" s="85"/>
      <c r="B3" s="85"/>
      <c r="C3" s="86"/>
      <c r="D3" s="87" t="s">
        <v>6</v>
      </c>
      <c r="E3" s="88"/>
      <c r="F3" s="88"/>
      <c r="G3" s="88"/>
      <c r="H3" s="88"/>
      <c r="I3" s="89"/>
      <c r="J3" s="90" t="s">
        <v>7</v>
      </c>
      <c r="K3" s="91"/>
    </row>
    <row r="4" spans="1:15" ht="15" customHeight="1" x14ac:dyDescent="0.2">
      <c r="A4" s="92" t="s">
        <v>8</v>
      </c>
      <c r="B4" s="93"/>
      <c r="C4" s="94"/>
      <c r="D4" s="36" t="str">
        <f>Input!D4</f>
        <v>Example Structure</v>
      </c>
      <c r="E4" s="37"/>
      <c r="F4" s="37"/>
      <c r="G4" s="37"/>
      <c r="H4" s="37"/>
      <c r="I4" s="38"/>
      <c r="J4" s="36"/>
      <c r="K4" s="38"/>
    </row>
    <row r="5" spans="1:15" ht="15" customHeight="1" x14ac:dyDescent="0.2">
      <c r="A5" s="93"/>
      <c r="B5" s="93"/>
      <c r="C5" s="94"/>
      <c r="D5" s="87" t="s">
        <v>10</v>
      </c>
      <c r="E5" s="89"/>
      <c r="F5" s="87" t="s">
        <v>11</v>
      </c>
      <c r="G5" s="89"/>
      <c r="H5" s="39" t="s">
        <v>12</v>
      </c>
      <c r="I5" s="90" t="s">
        <v>13</v>
      </c>
      <c r="J5" s="91"/>
      <c r="K5" s="40" t="s">
        <v>12</v>
      </c>
    </row>
    <row r="6" spans="1:15" ht="15" customHeight="1" x14ac:dyDescent="0.2">
      <c r="A6" s="93"/>
      <c r="B6" s="93"/>
      <c r="C6" s="94"/>
      <c r="D6" s="41" t="str">
        <f>Input!D6</f>
        <v>Example Client</v>
      </c>
      <c r="E6" s="38"/>
      <c r="F6" s="41" t="str">
        <f>Input!F6</f>
        <v>Example Engineer</v>
      </c>
      <c r="G6" s="38"/>
      <c r="H6" s="42">
        <f ca="1">TODAY()</f>
        <v>46005</v>
      </c>
      <c r="I6" s="41" t="str">
        <f>Input!I6</f>
        <v>Example Checker</v>
      </c>
      <c r="J6" s="38"/>
      <c r="K6" s="42">
        <f ca="1">TODAY()</f>
        <v>46005</v>
      </c>
    </row>
    <row r="7" spans="1:15" ht="12.75" customHeight="1" x14ac:dyDescent="0.2">
      <c r="A7" s="43" t="s">
        <v>17</v>
      </c>
      <c r="B7" s="83" t="s">
        <v>18</v>
      </c>
      <c r="C7" s="83"/>
      <c r="D7" s="84"/>
      <c r="E7" s="84"/>
      <c r="F7" s="84"/>
      <c r="G7" s="84"/>
      <c r="H7" s="84"/>
      <c r="I7" s="84"/>
      <c r="J7" s="84"/>
      <c r="K7" s="44" t="s">
        <v>19</v>
      </c>
    </row>
    <row r="8" spans="1:15" ht="12.95" customHeight="1" x14ac:dyDescent="0.2"/>
    <row r="9" spans="1:15" ht="12.95" customHeight="1" x14ac:dyDescent="0.2">
      <c r="B9" s="45" t="s">
        <v>68</v>
      </c>
    </row>
    <row r="10" spans="1:15" ht="12.95" customHeight="1" x14ac:dyDescent="0.2">
      <c r="B10" s="45" t="s">
        <v>55</v>
      </c>
      <c r="L10" s="46"/>
    </row>
    <row r="11" spans="1:15" ht="12.95" customHeight="1" x14ac:dyDescent="0.2">
      <c r="B11" s="45"/>
    </row>
    <row r="12" spans="1:15" ht="12.95" customHeight="1" x14ac:dyDescent="0.2">
      <c r="B12" s="45"/>
      <c r="C12" s="50" t="s">
        <v>42</v>
      </c>
    </row>
    <row r="13" spans="1:15" ht="12.95" customHeight="1" x14ac:dyDescent="0.2">
      <c r="B13" s="45"/>
      <c r="C13" s="50"/>
      <c r="D13" s="47" t="s">
        <v>43</v>
      </c>
    </row>
    <row r="14" spans="1:15" ht="12.95" customHeight="1" x14ac:dyDescent="0.2">
      <c r="B14" s="45"/>
      <c r="D14" s="48" t="s">
        <v>44</v>
      </c>
      <c r="E14" s="48" t="s">
        <v>45</v>
      </c>
      <c r="F14" s="25">
        <v>1.35</v>
      </c>
    </row>
    <row r="15" spans="1:15" ht="12.95" customHeight="1" x14ac:dyDescent="0.2">
      <c r="B15" s="45"/>
      <c r="D15" s="48" t="s">
        <v>46</v>
      </c>
      <c r="E15" s="48" t="s">
        <v>47</v>
      </c>
      <c r="F15" s="25">
        <v>1.5</v>
      </c>
    </row>
    <row r="16" spans="1:15" ht="12.95" customHeight="1" x14ac:dyDescent="0.2">
      <c r="B16" s="45"/>
      <c r="D16" s="47" t="s">
        <v>48</v>
      </c>
      <c r="E16" s="48"/>
      <c r="F16" s="51"/>
    </row>
    <row r="17" spans="2:7" ht="12.95" customHeight="1" x14ac:dyDescent="0.2">
      <c r="B17" s="45"/>
      <c r="D17" s="48" t="s">
        <v>44</v>
      </c>
      <c r="E17" s="48" t="s">
        <v>49</v>
      </c>
      <c r="F17" s="25">
        <v>0.9</v>
      </c>
    </row>
    <row r="18" spans="2:7" ht="12.95" customHeight="1" x14ac:dyDescent="0.2">
      <c r="B18" s="45"/>
      <c r="D18" s="48" t="s">
        <v>46</v>
      </c>
      <c r="E18" s="48" t="s">
        <v>50</v>
      </c>
      <c r="F18" s="49">
        <v>0</v>
      </c>
    </row>
    <row r="19" spans="2:7" ht="12.95" customHeight="1" x14ac:dyDescent="0.2">
      <c r="B19" s="45"/>
      <c r="C19" s="50"/>
      <c r="D19" s="47" t="s">
        <v>51</v>
      </c>
    </row>
    <row r="20" spans="2:7" ht="12.95" customHeight="1" x14ac:dyDescent="0.2">
      <c r="B20" s="45"/>
      <c r="C20" s="50"/>
      <c r="D20" s="48" t="s">
        <v>52</v>
      </c>
      <c r="E20" s="48" t="s">
        <v>23</v>
      </c>
      <c r="F20" s="25">
        <v>1</v>
      </c>
    </row>
    <row r="21" spans="2:7" ht="12.95" customHeight="1" x14ac:dyDescent="0.2">
      <c r="B21" s="45"/>
      <c r="C21" s="50"/>
      <c r="D21" s="48" t="s">
        <v>53</v>
      </c>
      <c r="E21" s="48" t="s">
        <v>54</v>
      </c>
      <c r="F21" s="25">
        <v>1</v>
      </c>
    </row>
    <row r="22" spans="2:7" ht="12.95" customHeight="1" x14ac:dyDescent="0.2">
      <c r="D22" s="3" t="s">
        <v>25</v>
      </c>
      <c r="E22" s="52" t="s">
        <v>26</v>
      </c>
      <c r="F22" s="25">
        <v>1</v>
      </c>
    </row>
    <row r="23" spans="2:7" ht="12.75" customHeight="1" x14ac:dyDescent="0.2"/>
    <row r="24" spans="2:7" ht="12.75" customHeight="1" x14ac:dyDescent="0.2">
      <c r="D24" s="48" t="s">
        <v>70</v>
      </c>
      <c r="E24" s="48" t="s">
        <v>73</v>
      </c>
      <c r="F24" s="57">
        <v>2</v>
      </c>
    </row>
    <row r="25" spans="2:7" ht="12.75" customHeight="1" x14ac:dyDescent="0.2">
      <c r="D25" s="48"/>
      <c r="E25" s="48"/>
      <c r="F25"/>
    </row>
    <row r="26" spans="2:7" ht="12.75" customHeight="1" x14ac:dyDescent="0.2">
      <c r="C26" s="24" t="s">
        <v>22</v>
      </c>
      <c r="D26" s="5"/>
      <c r="E26" s="5"/>
      <c r="F26" s="5"/>
    </row>
    <row r="27" spans="2:7" ht="12.75" customHeight="1" x14ac:dyDescent="0.2">
      <c r="C27" s="24"/>
    </row>
    <row r="28" spans="2:7" ht="12.75" customHeight="1" x14ac:dyDescent="0.2">
      <c r="D28" s="3" t="s">
        <v>0</v>
      </c>
      <c r="E28" s="3" t="s">
        <v>75</v>
      </c>
      <c r="F28" s="54">
        <f>DEGREES(ATAN((TAN(RADIANS(Phi))/gammaPhi)))</f>
        <v>20</v>
      </c>
      <c r="G28" s="5" t="s">
        <v>1</v>
      </c>
    </row>
    <row r="29" spans="2:7" ht="12.75" customHeight="1" x14ac:dyDescent="0.2">
      <c r="D29" s="3" t="s">
        <v>34</v>
      </c>
      <c r="E29" s="3" t="s">
        <v>35</v>
      </c>
      <c r="F29" s="54">
        <f>Cohesion/gammaC</f>
        <v>12</v>
      </c>
      <c r="G29" s="5" t="s">
        <v>36</v>
      </c>
    </row>
    <row r="30" spans="2:7" ht="12.75" customHeight="1" x14ac:dyDescent="0.2">
      <c r="D30" s="3" t="s">
        <v>25</v>
      </c>
      <c r="E30" s="3" t="s">
        <v>20</v>
      </c>
      <c r="F30" s="54">
        <f>gammasoil/F22</f>
        <v>19.2</v>
      </c>
      <c r="G30" s="5" t="s">
        <v>21</v>
      </c>
    </row>
    <row r="31" spans="2:7" ht="12.75" customHeight="1" x14ac:dyDescent="0.2">
      <c r="D31" s="3"/>
      <c r="E31" s="3"/>
      <c r="F31" s="54"/>
      <c r="G31" s="5"/>
    </row>
    <row r="32" spans="2:7" ht="12.75" customHeight="1" x14ac:dyDescent="0.2">
      <c r="C32" s="24" t="s">
        <v>81</v>
      </c>
    </row>
    <row r="33" spans="1:11" ht="75" customHeight="1" x14ac:dyDescent="0.2">
      <c r="C33" s="65" t="s">
        <v>64</v>
      </c>
      <c r="D33" s="65" t="s">
        <v>87</v>
      </c>
      <c r="E33" s="65" t="s">
        <v>88</v>
      </c>
      <c r="F33" s="65" t="s">
        <v>89</v>
      </c>
      <c r="G33" s="65" t="s">
        <v>90</v>
      </c>
      <c r="H33" s="65" t="s">
        <v>91</v>
      </c>
    </row>
    <row r="34" spans="1:11" ht="12.75" customHeight="1" x14ac:dyDescent="0.2">
      <c r="C34" s="33">
        <f>Input!B42</f>
        <v>1</v>
      </c>
      <c r="D34" s="55">
        <f>$F$30*Input!F42*(B/COUNT($C$34:$C$38))*gammaG</f>
        <v>74.652146030554192</v>
      </c>
      <c r="E34" s="55">
        <f>D34*Input!I42</f>
        <v>-38.182736986119508</v>
      </c>
      <c r="F34" s="55">
        <f>Input!K42*(B/COUNT($C$34:$C$38))*gammaG</f>
        <v>171.76326362719217</v>
      </c>
      <c r="G34" s="55">
        <f>D34*Input!H42-F34</f>
        <v>-107.61483026194148</v>
      </c>
      <c r="H34" s="55">
        <f>$F$29*(B/COUNT($C$34:$C$38))+G34*TAN(RADIANS($F$28))</f>
        <v>-11.088594980956444</v>
      </c>
    </row>
    <row r="35" spans="1:11" ht="12.75" customHeight="1" x14ac:dyDescent="0.2">
      <c r="C35" s="33">
        <f>Input!B43</f>
        <v>2</v>
      </c>
      <c r="D35" s="55">
        <f>$F$30*Input!F43*(B/COUNT($C$34:$C$38))*gammaG</f>
        <v>217.76985498041915</v>
      </c>
      <c r="E35" s="55">
        <f>D35*Input!I43</f>
        <v>-55.691962913025222</v>
      </c>
      <c r="F35" s="55">
        <f>Input!K43*(B/COUNT($C$34:$C$38))*gammaG</f>
        <v>202.23093357317555</v>
      </c>
      <c r="G35" s="55">
        <f>D35*Input!H43-F35</f>
        <v>8.2972474503800697</v>
      </c>
      <c r="H35" s="55">
        <f>$F$29*(B/COUNT($C$34:$C$38))+G35*TAN(RADIANS($F$28))</f>
        <v>31.099951098279483</v>
      </c>
    </row>
    <row r="36" spans="1:11" ht="12.75" customHeight="1" x14ac:dyDescent="0.2">
      <c r="C36" s="33">
        <f>Input!B44</f>
        <v>3</v>
      </c>
      <c r="D36" s="55">
        <f>$F$30*Input!F44*(B/COUNT($C$34:$C$38))*gammaG</f>
        <v>319.71161223529413</v>
      </c>
      <c r="E36" s="55">
        <f>D36*Input!I44</f>
        <v>0</v>
      </c>
      <c r="F36" s="55">
        <f>Input!K44*(B/COUNT($C$34:$C$38))*gammaG</f>
        <v>211.66026570000005</v>
      </c>
      <c r="G36" s="55">
        <f>D36*Input!H44-F36</f>
        <v>108.05134653529407</v>
      </c>
      <c r="H36" s="55">
        <f>$F$29*(B/COUNT($C$34:$C$38))+G36*TAN(RADIANS($F$28))</f>
        <v>67.407473911229602</v>
      </c>
    </row>
    <row r="37" spans="1:11" ht="12.75" customHeight="1" x14ac:dyDescent="0.2">
      <c r="C37" s="33">
        <f>Input!B45</f>
        <v>4</v>
      </c>
      <c r="D37" s="55">
        <f>$F$30*Input!F45*(B/COUNT($C$34:$C$38))*gammaG</f>
        <v>384.74344556865447</v>
      </c>
      <c r="E37" s="55">
        <f>D37*Input!I45</f>
        <v>98.393405751983764</v>
      </c>
      <c r="F37" s="55">
        <f>Input!K45*(B/COUNT($C$34:$C$38))*gammaG</f>
        <v>202.23093357317555</v>
      </c>
      <c r="G37" s="55">
        <f>D37*Input!H45-F37</f>
        <v>169.71833260779925</v>
      </c>
      <c r="H37" s="55">
        <f>$F$29*(B/COUNT($C$34:$C$38))+G37*TAN(RADIANS($F$28))</f>
        <v>89.852421278529931</v>
      </c>
    </row>
    <row r="38" spans="1:11" ht="12.75" customHeight="1" x14ac:dyDescent="0.2">
      <c r="C38" s="33">
        <f>Input!B46</f>
        <v>5</v>
      </c>
      <c r="D38" s="55">
        <f>$F$30*Input!F46*(B/COUNT($C$34:$C$38))*gammaG</f>
        <v>402.89082838349532</v>
      </c>
      <c r="E38" s="55">
        <f>D38*Input!I46</f>
        <v>206.06875156664017</v>
      </c>
      <c r="F38" s="55">
        <f>Input!K46*(B/COUNT($C$34:$C$38))*gammaG</f>
        <v>171.76326362719217</v>
      </c>
      <c r="G38" s="55">
        <f>D38*Input!H46-F38</f>
        <v>174.43998480254945</v>
      </c>
      <c r="H38" s="55">
        <f>$F$29*(B/COUNT($C$34:$C$38))+G38*TAN(RADIANS($F$28))</f>
        <v>91.570962133976707</v>
      </c>
    </row>
    <row r="39" spans="1:11" ht="12.75" customHeight="1" x14ac:dyDescent="0.2">
      <c r="C39" s="53"/>
      <c r="D39" s="62" t="s">
        <v>60</v>
      </c>
      <c r="E39" s="58">
        <f>SUM(E34:E38)</f>
        <v>210.58745741947922</v>
      </c>
      <c r="F39" s="63"/>
      <c r="G39" s="58"/>
      <c r="H39" s="58"/>
    </row>
    <row r="40" spans="1:11" ht="12.75" customHeight="1" x14ac:dyDescent="0.2">
      <c r="C40" s="56"/>
      <c r="D40" s="56"/>
      <c r="E40" s="56"/>
      <c r="F40" s="56"/>
      <c r="G40" s="56"/>
      <c r="H40" s="56"/>
      <c r="I40" s="56"/>
    </row>
    <row r="41" spans="1:11" ht="12.75" customHeight="1" x14ac:dyDescent="0.2">
      <c r="A41" s="59" t="s">
        <v>71</v>
      </c>
      <c r="B41" s="59" t="str">
        <f>"F1 = "&amp;ROUND(F24,3)</f>
        <v>F1 = 2</v>
      </c>
      <c r="C41" s="60" t="str">
        <f>"F2 = "&amp;ROUND(G48/E39,3)</f>
        <v>F2 = 1.29</v>
      </c>
      <c r="D41" s="60" t="str">
        <f>"F2 = "&amp;ROUND($H$48/$E$39,3)</f>
        <v>F2 = 1.255</v>
      </c>
      <c r="E41" s="60" t="str">
        <f>"F2 = "&amp;ROUND($I$48/$E$39,3)</f>
        <v>F2 = 1.253</v>
      </c>
      <c r="F41" s="60" t="str">
        <f>"F2 = "&amp;ROUND($J$48/$E$39,3)</f>
        <v>F2 = 1.253</v>
      </c>
      <c r="G41" s="60" t="str">
        <f>B41</f>
        <v>F1 = 2</v>
      </c>
      <c r="H41" s="60" t="str">
        <f t="shared" ref="H41:K41" si="0">C41</f>
        <v>F2 = 1.29</v>
      </c>
      <c r="I41" s="60" t="str">
        <f t="shared" si="0"/>
        <v>F2 = 1.255</v>
      </c>
      <c r="J41" s="60" t="str">
        <f t="shared" si="0"/>
        <v>F2 = 1.253</v>
      </c>
      <c r="K41" s="60" t="str">
        <f t="shared" si="0"/>
        <v>F2 = 1.253</v>
      </c>
    </row>
    <row r="42" spans="1:11" ht="65.099999999999994" customHeight="1" x14ac:dyDescent="0.2">
      <c r="A42" s="65" t="s">
        <v>64</v>
      </c>
      <c r="B42" s="65" t="s">
        <v>93</v>
      </c>
      <c r="C42" s="65" t="s">
        <v>93</v>
      </c>
      <c r="D42" s="65" t="s">
        <v>93</v>
      </c>
      <c r="E42" s="65" t="s">
        <v>93</v>
      </c>
      <c r="F42" s="65" t="s">
        <v>93</v>
      </c>
      <c r="G42" s="65" t="s">
        <v>92</v>
      </c>
      <c r="H42" s="65" t="s">
        <v>92</v>
      </c>
      <c r="I42" s="65" t="s">
        <v>92</v>
      </c>
      <c r="J42" s="65" t="s">
        <v>92</v>
      </c>
      <c r="K42" s="65" t="s">
        <v>92</v>
      </c>
    </row>
    <row r="43" spans="1:11" ht="12.75" customHeight="1" x14ac:dyDescent="0.2">
      <c r="A43" s="33">
        <f>C34</f>
        <v>1</v>
      </c>
      <c r="B43" s="55">
        <f>Input!H42+Input!I42*TAN(RADIANS($F$28))/$F$24</f>
        <v>0.76621700170492357</v>
      </c>
      <c r="C43" s="55">
        <f>Input!H42+Input!I42*TAN(RADIANS($F$28))/($G$48/$E$39)</f>
        <v>0.71493247131366877</v>
      </c>
      <c r="D43" s="55">
        <f>Input!H42+Input!I42*TAN(RADIANS($F$28))/($H$48/$E$39)</f>
        <v>0.7110168322061079</v>
      </c>
      <c r="E43" s="55">
        <f>Input!H42+Input!I42*TAN(RADIANS($F$28))/($I$48/$E$39)</f>
        <v>0.71072101279583966</v>
      </c>
      <c r="F43" s="55">
        <f>Input!H42+Input!I42*TAN(RADIANS($F$28))/($J$48/$E$39)</f>
        <v>0.71069867938232067</v>
      </c>
      <c r="G43" s="55">
        <f>H34/B43</f>
        <v>-14.471872793585899</v>
      </c>
      <c r="H43" s="55">
        <f>H34/C43</f>
        <v>-15.509989300921603</v>
      </c>
      <c r="I43" s="55">
        <f>H34/D43</f>
        <v>-15.5954043261554</v>
      </c>
      <c r="J43" s="55">
        <f>H34/E43</f>
        <v>-15.601895513594069</v>
      </c>
      <c r="K43" s="55">
        <f>H34/F43</f>
        <v>-15.602385796739787</v>
      </c>
    </row>
    <row r="44" spans="1:11" ht="12.75" customHeight="1" x14ac:dyDescent="0.2">
      <c r="A44" s="33">
        <f t="shared" ref="A44:A47" si="1">C35</f>
        <v>2</v>
      </c>
      <c r="B44" s="55">
        <f>Input!H43+Input!I43*TAN(RADIANS($F$28))/$F$24</f>
        <v>0.92020574953992051</v>
      </c>
      <c r="C44" s="55">
        <f>Input!H43+Input!I43*TAN(RADIANS($F$28))/($G$48/$E$39)</f>
        <v>0.89456348434429311</v>
      </c>
      <c r="D44" s="55">
        <f>Input!H43+Input!I43*TAN(RADIANS($F$28))/($H$48/$E$39)</f>
        <v>0.89260566479051273</v>
      </c>
      <c r="E44" s="55">
        <f>Input!H43+Input!I43*TAN(RADIANS($F$28))/($I$48/$E$39)</f>
        <v>0.89245775508537861</v>
      </c>
      <c r="F44" s="55">
        <f>Input!H43+Input!I43*TAN(RADIANS($F$28))/($J$48/$E$39)</f>
        <v>0.89244658837861912</v>
      </c>
      <c r="G44" s="55">
        <f>H35/B44</f>
        <v>33.796736342745817</v>
      </c>
      <c r="H44" s="55">
        <f>H35/C44</f>
        <v>34.76550478815426</v>
      </c>
      <c r="I44" s="55">
        <f>H35/D44</f>
        <v>34.841758600734835</v>
      </c>
      <c r="J44" s="55">
        <f t="shared" ref="J44:J47" si="2">H35/E44</f>
        <v>34.847533030069584</v>
      </c>
      <c r="K44" s="55">
        <f t="shared" ref="K44:K47" si="3">H35/F44</f>
        <v>34.847969058609223</v>
      </c>
    </row>
    <row r="45" spans="1:11" ht="12.75" customHeight="1" x14ac:dyDescent="0.2">
      <c r="A45" s="33">
        <f t="shared" si="1"/>
        <v>3</v>
      </c>
      <c r="B45" s="55">
        <f>Input!H44+Input!I44*TAN(RADIANS($F$28))/$F$24</f>
        <v>1</v>
      </c>
      <c r="C45" s="55">
        <f>Input!H44+Input!I44*TAN(RADIANS($F$28))/($G$48/$E$39)</f>
        <v>1</v>
      </c>
      <c r="D45" s="55">
        <f>Input!H44+Input!I44*TAN(RADIANS($F$28))/($H$48/$E$39)</f>
        <v>1</v>
      </c>
      <c r="E45" s="55">
        <f>Input!H44+Input!I44*TAN(RADIANS($F$28))/($I$48/$E$39)</f>
        <v>1</v>
      </c>
      <c r="F45" s="55">
        <f>Input!H44+Input!I44*TAN(RADIANS($F$28))/($J$48/$E$39)</f>
        <v>1</v>
      </c>
      <c r="G45" s="55">
        <f>H36/B45</f>
        <v>67.407473911229602</v>
      </c>
      <c r="H45" s="55">
        <f>H36/C45</f>
        <v>67.407473911229602</v>
      </c>
      <c r="I45" s="55">
        <f>H36/D45</f>
        <v>67.407473911229602</v>
      </c>
      <c r="J45" s="55">
        <f t="shared" si="2"/>
        <v>67.407473911229602</v>
      </c>
      <c r="K45" s="55">
        <f t="shared" si="3"/>
        <v>67.407473911229602</v>
      </c>
    </row>
    <row r="46" spans="1:11" ht="12.75" customHeight="1" x14ac:dyDescent="0.2">
      <c r="A46" s="33">
        <f t="shared" si="1"/>
        <v>4</v>
      </c>
      <c r="B46" s="55">
        <f>Input!H45+Input!I45*TAN(RADIANS($F$28))/$F$24</f>
        <v>1.0132866619096379</v>
      </c>
      <c r="C46" s="55">
        <f>Input!H45+Input!I45*TAN(RADIANS($F$28))/($G$48/$E$39)</f>
        <v>1.0389289271052653</v>
      </c>
      <c r="D46" s="55">
        <f>Input!H45+Input!I45*TAN(RADIANS($F$28))/($H$48/$E$39)</f>
        <v>1.0408867466590457</v>
      </c>
      <c r="E46" s="55">
        <f>Input!H45+Input!I45*TAN(RADIANS($F$28))/($I$48/$E$39)</f>
        <v>1.0410346563641797</v>
      </c>
      <c r="F46" s="55">
        <f>Input!H45+Input!I45*TAN(RADIANS($F$28))/($J$48/$E$39)</f>
        <v>1.0410458230709394</v>
      </c>
      <c r="G46" s="55">
        <f>H37/B46</f>
        <v>88.674236675724373</v>
      </c>
      <c r="H46" s="55">
        <f>H37/C46</f>
        <v>86.485628549089384</v>
      </c>
      <c r="I46" s="55">
        <f>H37/D46</f>
        <v>86.322956428190665</v>
      </c>
      <c r="J46" s="55">
        <f t="shared" si="2"/>
        <v>86.310691703905519</v>
      </c>
      <c r="K46" s="55">
        <f t="shared" si="3"/>
        <v>86.30976589817908</v>
      </c>
    </row>
    <row r="47" spans="1:11" ht="12.75" customHeight="1" x14ac:dyDescent="0.2">
      <c r="A47" s="33">
        <f t="shared" si="1"/>
        <v>5</v>
      </c>
      <c r="B47" s="55">
        <f>Input!H46+Input!I46*TAN(RADIANS($F$28))/$F$24</f>
        <v>0.95237882644435812</v>
      </c>
      <c r="C47" s="55">
        <f>Input!H46+Input!I46*TAN(RADIANS($F$28))/($G$48/$E$39)</f>
        <v>1.003663356835613</v>
      </c>
      <c r="D47" s="55">
        <f>Input!H46+Input!I46*TAN(RADIANS($F$28))/($H$48/$E$39)</f>
        <v>1.0075789959431738</v>
      </c>
      <c r="E47" s="55">
        <f>Input!H46+Input!I46*TAN(RADIANS($F$28))/($I$48/$E$39)</f>
        <v>1.007874815353442</v>
      </c>
      <c r="F47" s="55">
        <f>Input!H46+Input!I46*TAN(RADIANS($F$28))/($J$48/$E$39)</f>
        <v>1.007897148766961</v>
      </c>
      <c r="G47" s="55">
        <f>H38/B47</f>
        <v>96.149724869305103</v>
      </c>
      <c r="H47" s="55">
        <f>H38/C47</f>
        <v>91.236729437532745</v>
      </c>
      <c r="I47" s="55">
        <f>H38/D47</f>
        <v>90.882166562294231</v>
      </c>
      <c r="J47" s="55">
        <f t="shared" si="2"/>
        <v>90.855491911328841</v>
      </c>
      <c r="K47" s="55">
        <f t="shared" si="3"/>
        <v>90.853478696712841</v>
      </c>
    </row>
    <row r="48" spans="1:11" ht="12.75" customHeight="1" x14ac:dyDescent="0.2">
      <c r="A48" s="53"/>
      <c r="B48" s="53"/>
      <c r="C48" s="53"/>
      <c r="D48" s="53"/>
      <c r="E48" s="53"/>
      <c r="F48" s="48" t="s">
        <v>60</v>
      </c>
      <c r="G48" s="58">
        <f>SUM(G43:G47)</f>
        <v>271.55629900541896</v>
      </c>
      <c r="H48" s="58">
        <f>SUM(H43:H47)</f>
        <v>264.3853473850844</v>
      </c>
      <c r="I48" s="58">
        <f>SUM(I43:I47)</f>
        <v>263.85895117629394</v>
      </c>
      <c r="J48" s="58">
        <f t="shared" ref="J48:K48" si="4">SUM(J43:J47)</f>
        <v>263.81929504293947</v>
      </c>
      <c r="K48" s="58">
        <f t="shared" si="4"/>
        <v>263.81630176799092</v>
      </c>
    </row>
    <row r="49" spans="1:11" ht="12.75" customHeight="1" x14ac:dyDescent="0.2">
      <c r="A49" s="53"/>
      <c r="B49" s="48" t="s">
        <v>62</v>
      </c>
      <c r="C49" s="68">
        <f>$K$48/$E$39</f>
        <v>1.2527636023568234</v>
      </c>
      <c r="D49" s="69" t="str">
        <f>IF(C49&lt;1,"FAILURE! Slope is unstable","SAFE. Slope is stable")</f>
        <v>SAFE. Slope is stable</v>
      </c>
      <c r="E49" s="53"/>
      <c r="F49" s="53"/>
      <c r="G49" s="53"/>
      <c r="H49" s="53"/>
      <c r="I49" s="53"/>
      <c r="J49" s="53"/>
      <c r="K49" s="53"/>
    </row>
    <row r="50" spans="1:11" ht="12.75" customHeight="1" x14ac:dyDescent="0.2"/>
    <row r="51" spans="1:11" ht="12.75" customHeight="1" x14ac:dyDescent="0.2"/>
    <row r="52" spans="1:11" ht="12.75" customHeight="1" x14ac:dyDescent="0.2"/>
    <row r="53" spans="1:11" ht="12.75" customHeight="1" x14ac:dyDescent="0.2"/>
    <row r="54" spans="1:11" ht="12.75" customHeight="1" x14ac:dyDescent="0.2"/>
  </sheetData>
  <mergeCells count="10">
    <mergeCell ref="B7:J7"/>
    <mergeCell ref="A1:C3"/>
    <mergeCell ref="D1:I1"/>
    <mergeCell ref="J1:K1"/>
    <mergeCell ref="D3:I3"/>
    <mergeCell ref="J3:K3"/>
    <mergeCell ref="A4:C6"/>
    <mergeCell ref="D5:E5"/>
    <mergeCell ref="F5:G5"/>
    <mergeCell ref="I5:J5"/>
  </mergeCells>
  <conditionalFormatting sqref="C49">
    <cfRule type="expression" dxfId="3" priority="1">
      <formula>$C$49&lt;1</formula>
    </cfRule>
  </conditionalFormatting>
  <conditionalFormatting sqref="D49">
    <cfRule type="containsText" dxfId="2" priority="2" operator="containsText" text="FAILURE">
      <formula>NOT(ISERROR(SEARCH("FAILURE",D49)))</formula>
    </cfRule>
  </conditionalFormatting>
  <pageMargins left="0.25" right="0.25"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B6D-6DE5-46D4-BEE0-70B43D144078}">
  <dimension ref="A1:O54"/>
  <sheetViews>
    <sheetView view="pageBreakPreview" topLeftCell="A37" zoomScale="150" zoomScaleNormal="130" zoomScaleSheetLayoutView="150" workbookViewId="0">
      <selection activeCell="F53" sqref="F53"/>
    </sheetView>
  </sheetViews>
  <sheetFormatPr defaultColWidth="8.85546875" defaultRowHeight="12.75" x14ac:dyDescent="0.2"/>
  <cols>
    <col min="1" max="11" width="9" style="34" customWidth="1"/>
    <col min="12" max="14" width="8.85546875" style="34" customWidth="1"/>
    <col min="15" max="17" width="8.85546875" style="34"/>
    <col min="18" max="18" width="25.28515625" style="34" customWidth="1"/>
    <col min="19" max="19" width="17.28515625" style="34" customWidth="1"/>
    <col min="20" max="16384" width="8.85546875" style="34"/>
  </cols>
  <sheetData>
    <row r="1" spans="1:15" ht="15" customHeight="1" x14ac:dyDescent="0.2">
      <c r="A1" s="85"/>
      <c r="B1" s="85"/>
      <c r="C1" s="86"/>
      <c r="D1" s="87" t="s">
        <v>2</v>
      </c>
      <c r="E1" s="88"/>
      <c r="F1" s="88"/>
      <c r="G1" s="88"/>
      <c r="H1" s="88"/>
      <c r="I1" s="89"/>
      <c r="J1" s="87" t="s">
        <v>3</v>
      </c>
      <c r="K1" s="89"/>
      <c r="O1" s="35"/>
    </row>
    <row r="2" spans="1:15" ht="15" customHeight="1" x14ac:dyDescent="0.2">
      <c r="A2" s="85"/>
      <c r="B2" s="85"/>
      <c r="C2" s="86"/>
      <c r="D2" s="36" t="str">
        <f>Input!D2</f>
        <v>Example Project</v>
      </c>
      <c r="E2" s="37"/>
      <c r="F2" s="37"/>
      <c r="G2" s="37"/>
      <c r="H2" s="37"/>
      <c r="I2" s="38"/>
      <c r="J2" s="36" t="str">
        <f>Input!J2</f>
        <v>Eample Job No.</v>
      </c>
      <c r="K2" s="38"/>
      <c r="O2" s="35"/>
    </row>
    <row r="3" spans="1:15" ht="15" customHeight="1" x14ac:dyDescent="0.2">
      <c r="A3" s="85"/>
      <c r="B3" s="85"/>
      <c r="C3" s="86"/>
      <c r="D3" s="87" t="s">
        <v>6</v>
      </c>
      <c r="E3" s="88"/>
      <c r="F3" s="88"/>
      <c r="G3" s="88"/>
      <c r="H3" s="88"/>
      <c r="I3" s="89"/>
      <c r="J3" s="90" t="s">
        <v>7</v>
      </c>
      <c r="K3" s="91"/>
    </row>
    <row r="4" spans="1:15" ht="15" customHeight="1" x14ac:dyDescent="0.2">
      <c r="A4" s="92" t="s">
        <v>8</v>
      </c>
      <c r="B4" s="93"/>
      <c r="C4" s="94"/>
      <c r="D4" s="36" t="str">
        <f>Input!D4</f>
        <v>Example Structure</v>
      </c>
      <c r="E4" s="37"/>
      <c r="F4" s="37"/>
      <c r="G4" s="37"/>
      <c r="H4" s="37"/>
      <c r="I4" s="38"/>
      <c r="J4" s="36"/>
      <c r="K4" s="38"/>
    </row>
    <row r="5" spans="1:15" ht="15" customHeight="1" x14ac:dyDescent="0.2">
      <c r="A5" s="93"/>
      <c r="B5" s="93"/>
      <c r="C5" s="94"/>
      <c r="D5" s="87" t="s">
        <v>10</v>
      </c>
      <c r="E5" s="89"/>
      <c r="F5" s="87" t="s">
        <v>11</v>
      </c>
      <c r="G5" s="89"/>
      <c r="H5" s="39" t="s">
        <v>12</v>
      </c>
      <c r="I5" s="90" t="s">
        <v>13</v>
      </c>
      <c r="J5" s="91"/>
      <c r="K5" s="40" t="s">
        <v>12</v>
      </c>
    </row>
    <row r="6" spans="1:15" ht="15" customHeight="1" x14ac:dyDescent="0.2">
      <c r="A6" s="93"/>
      <c r="B6" s="93"/>
      <c r="C6" s="94"/>
      <c r="D6" s="41" t="str">
        <f>Input!D6</f>
        <v>Example Client</v>
      </c>
      <c r="E6" s="38"/>
      <c r="F6" s="41" t="str">
        <f>Input!F6</f>
        <v>Example Engineer</v>
      </c>
      <c r="G6" s="38"/>
      <c r="H6" s="42">
        <f ca="1">TODAY()</f>
        <v>46005</v>
      </c>
      <c r="I6" s="41" t="str">
        <f>Input!I6</f>
        <v>Example Checker</v>
      </c>
      <c r="J6" s="38"/>
      <c r="K6" s="42">
        <f ca="1">TODAY()</f>
        <v>46005</v>
      </c>
    </row>
    <row r="7" spans="1:15" ht="12.75" customHeight="1" x14ac:dyDescent="0.2">
      <c r="A7" s="43" t="s">
        <v>17</v>
      </c>
      <c r="B7" s="83" t="s">
        <v>18</v>
      </c>
      <c r="C7" s="83"/>
      <c r="D7" s="84"/>
      <c r="E7" s="84"/>
      <c r="F7" s="84"/>
      <c r="G7" s="84"/>
      <c r="H7" s="84"/>
      <c r="I7" s="84"/>
      <c r="J7" s="84"/>
      <c r="K7" s="44" t="s">
        <v>19</v>
      </c>
    </row>
    <row r="8" spans="1:15" ht="12.95" customHeight="1" x14ac:dyDescent="0.2"/>
    <row r="9" spans="1:15" ht="12.95" customHeight="1" x14ac:dyDescent="0.2">
      <c r="B9" s="45" t="s">
        <v>68</v>
      </c>
    </row>
    <row r="10" spans="1:15" ht="12.95" customHeight="1" x14ac:dyDescent="0.2">
      <c r="B10" s="45" t="s">
        <v>55</v>
      </c>
      <c r="L10" s="46"/>
    </row>
    <row r="11" spans="1:15" ht="12.95" customHeight="1" x14ac:dyDescent="0.2">
      <c r="B11" s="45"/>
    </row>
    <row r="12" spans="1:15" ht="12.95" customHeight="1" x14ac:dyDescent="0.2">
      <c r="B12" s="45"/>
      <c r="C12" s="50" t="s">
        <v>42</v>
      </c>
    </row>
    <row r="13" spans="1:15" ht="12.95" customHeight="1" x14ac:dyDescent="0.2">
      <c r="B13" s="45"/>
      <c r="C13" s="50"/>
      <c r="D13" s="47" t="s">
        <v>43</v>
      </c>
    </row>
    <row r="14" spans="1:15" ht="12.95" customHeight="1" x14ac:dyDescent="0.2">
      <c r="B14" s="45"/>
      <c r="D14" s="48" t="s">
        <v>44</v>
      </c>
      <c r="E14" s="48" t="s">
        <v>45</v>
      </c>
      <c r="F14" s="25">
        <v>1</v>
      </c>
    </row>
    <row r="15" spans="1:15" ht="12.95" customHeight="1" x14ac:dyDescent="0.2">
      <c r="B15" s="45"/>
      <c r="D15" s="48" t="s">
        <v>46</v>
      </c>
      <c r="E15" s="48" t="s">
        <v>47</v>
      </c>
      <c r="F15" s="25">
        <v>1</v>
      </c>
    </row>
    <row r="16" spans="1:15" ht="12.95" customHeight="1" x14ac:dyDescent="0.2">
      <c r="B16" s="45"/>
      <c r="D16" s="47" t="s">
        <v>48</v>
      </c>
      <c r="E16" s="48"/>
      <c r="F16" s="51"/>
    </row>
    <row r="17" spans="2:7" ht="12.95" customHeight="1" x14ac:dyDescent="0.2">
      <c r="B17" s="45"/>
      <c r="D17" s="48" t="s">
        <v>44</v>
      </c>
      <c r="E17" s="48" t="s">
        <v>49</v>
      </c>
      <c r="F17" s="25">
        <v>1</v>
      </c>
    </row>
    <row r="18" spans="2:7" ht="12.95" customHeight="1" x14ac:dyDescent="0.2">
      <c r="B18" s="45"/>
      <c r="D18" s="48" t="s">
        <v>46</v>
      </c>
      <c r="E18" s="48" t="s">
        <v>50</v>
      </c>
      <c r="F18" s="49">
        <v>0</v>
      </c>
    </row>
    <row r="19" spans="2:7" ht="12.95" customHeight="1" x14ac:dyDescent="0.2">
      <c r="B19" s="45"/>
      <c r="C19" s="50"/>
      <c r="D19" s="47" t="s">
        <v>51</v>
      </c>
    </row>
    <row r="20" spans="2:7" ht="12.95" customHeight="1" x14ac:dyDescent="0.2">
      <c r="B20" s="45"/>
      <c r="C20" s="50"/>
      <c r="D20" s="48" t="s">
        <v>52</v>
      </c>
      <c r="E20" s="48" t="s">
        <v>23</v>
      </c>
      <c r="F20" s="25">
        <v>1.25</v>
      </c>
    </row>
    <row r="21" spans="2:7" ht="12.95" customHeight="1" x14ac:dyDescent="0.2">
      <c r="B21" s="45"/>
      <c r="C21" s="50"/>
      <c r="D21" s="48" t="s">
        <v>53</v>
      </c>
      <c r="E21" s="48" t="s">
        <v>54</v>
      </c>
      <c r="F21" s="25">
        <v>1.25</v>
      </c>
    </row>
    <row r="22" spans="2:7" ht="12.95" customHeight="1" x14ac:dyDescent="0.2">
      <c r="D22" s="3" t="s">
        <v>25</v>
      </c>
      <c r="E22" s="52" t="s">
        <v>26</v>
      </c>
      <c r="F22" s="25">
        <v>1</v>
      </c>
    </row>
    <row r="23" spans="2:7" ht="12.75" customHeight="1" x14ac:dyDescent="0.2"/>
    <row r="24" spans="2:7" ht="12.75" customHeight="1" x14ac:dyDescent="0.2">
      <c r="D24" s="48" t="s">
        <v>70</v>
      </c>
      <c r="E24" s="48" t="s">
        <v>69</v>
      </c>
      <c r="F24" s="57">
        <v>2</v>
      </c>
    </row>
    <row r="25" spans="2:7" ht="12.75" customHeight="1" x14ac:dyDescent="0.2">
      <c r="D25" s="48"/>
      <c r="E25" s="48"/>
      <c r="F25"/>
    </row>
    <row r="26" spans="2:7" ht="12.75" customHeight="1" x14ac:dyDescent="0.2">
      <c r="C26" s="24" t="s">
        <v>22</v>
      </c>
      <c r="D26" s="5"/>
      <c r="E26" s="5"/>
      <c r="F26" s="5"/>
    </row>
    <row r="27" spans="2:7" ht="12.75" customHeight="1" x14ac:dyDescent="0.2">
      <c r="C27" s="24"/>
    </row>
    <row r="28" spans="2:7" ht="12.75" customHeight="1" x14ac:dyDescent="0.2">
      <c r="D28" s="3" t="s">
        <v>0</v>
      </c>
      <c r="E28" s="3" t="s">
        <v>75</v>
      </c>
      <c r="F28" s="54">
        <f>DEGREES(ATAN((TAN(RADIANS(Phi))/gammaPhi)))</f>
        <v>16.234302131351505</v>
      </c>
      <c r="G28" s="5" t="s">
        <v>1</v>
      </c>
    </row>
    <row r="29" spans="2:7" ht="12.75" customHeight="1" x14ac:dyDescent="0.2">
      <c r="D29" s="3" t="s">
        <v>34</v>
      </c>
      <c r="E29" s="3" t="s">
        <v>35</v>
      </c>
      <c r="F29" s="54">
        <f>Cohesion/gammaC</f>
        <v>9.6</v>
      </c>
      <c r="G29" s="5" t="s">
        <v>36</v>
      </c>
    </row>
    <row r="30" spans="2:7" ht="12.75" customHeight="1" x14ac:dyDescent="0.2">
      <c r="D30" s="3" t="s">
        <v>25</v>
      </c>
      <c r="E30" s="3" t="s">
        <v>20</v>
      </c>
      <c r="F30" s="54">
        <f>gammasoil/F22</f>
        <v>19.2</v>
      </c>
      <c r="G30" s="5" t="s">
        <v>21</v>
      </c>
    </row>
    <row r="31" spans="2:7" ht="12.75" customHeight="1" x14ac:dyDescent="0.2">
      <c r="D31" s="3"/>
      <c r="E31" s="3"/>
      <c r="F31" s="54"/>
      <c r="G31" s="5"/>
    </row>
    <row r="32" spans="2:7" ht="12.75" customHeight="1" x14ac:dyDescent="0.2">
      <c r="C32" s="24" t="s">
        <v>81</v>
      </c>
    </row>
    <row r="33" spans="1:11" ht="75" customHeight="1" x14ac:dyDescent="0.2">
      <c r="C33" s="65" t="s">
        <v>64</v>
      </c>
      <c r="D33" s="65" t="s">
        <v>87</v>
      </c>
      <c r="E33" s="65" t="s">
        <v>88</v>
      </c>
      <c r="F33" s="65" t="s">
        <v>89</v>
      </c>
      <c r="G33" s="65" t="s">
        <v>90</v>
      </c>
      <c r="H33" s="65" t="s">
        <v>91</v>
      </c>
    </row>
    <row r="34" spans="1:11" ht="12.75" customHeight="1" x14ac:dyDescent="0.2">
      <c r="C34" s="33">
        <f>Input!B42</f>
        <v>1</v>
      </c>
      <c r="D34" s="55">
        <f>$F$30*Input!F42*(B/COUNT($C$34:$C$38))*gammaG</f>
        <v>55.297885948558658</v>
      </c>
      <c r="E34" s="55">
        <f>D34*Input!I42</f>
        <v>-28.283508878607044</v>
      </c>
      <c r="F34" s="55">
        <f>Input!K42*(B/COUNT($C$34:$C$38))*gammaG</f>
        <v>127.23204713125345</v>
      </c>
      <c r="G34" s="55">
        <f>D34*Input!H42-F34</f>
        <v>-79.714689082919605</v>
      </c>
      <c r="H34" s="55">
        <f>$F$29*(B/COUNT($C$34:$C$38))+G34*TAN(RADIANS($F$28))</f>
        <v>-0.74701924797419039</v>
      </c>
    </row>
    <row r="35" spans="1:11" ht="12.75" customHeight="1" x14ac:dyDescent="0.2">
      <c r="C35" s="33">
        <f>Input!B43</f>
        <v>2</v>
      </c>
      <c r="D35" s="55">
        <f>$F$30*Input!F43*(B/COUNT($C$34:$C$38))*gammaG</f>
        <v>161.31100368919937</v>
      </c>
      <c r="E35" s="55">
        <f>D35*Input!I43</f>
        <v>-41.253305861500166</v>
      </c>
      <c r="F35" s="55">
        <f>Input!K43*(B/COUNT($C$34:$C$38))*gammaG</f>
        <v>149.80069153568559</v>
      </c>
      <c r="G35" s="55">
        <f>D35*Input!H43-F35</f>
        <v>6.1461092225037532</v>
      </c>
      <c r="H35" s="55">
        <f>$F$29*(B/COUNT($C$34:$C$38))+G35*TAN(RADIANS($F$28))</f>
        <v>24.253600650832286</v>
      </c>
    </row>
    <row r="36" spans="1:11" ht="12.75" customHeight="1" x14ac:dyDescent="0.2">
      <c r="C36" s="33">
        <f>Input!B44</f>
        <v>3</v>
      </c>
      <c r="D36" s="55">
        <f>$F$30*Input!F44*(B/COUNT($C$34:$C$38))*gammaG</f>
        <v>236.82341647058823</v>
      </c>
      <c r="E36" s="55">
        <f>D36*Input!I44</f>
        <v>0</v>
      </c>
      <c r="F36" s="55">
        <f>Input!K44*(B/COUNT($C$34:$C$38))*gammaG</f>
        <v>156.78538200000003</v>
      </c>
      <c r="G36" s="55">
        <f>D36*Input!H44-F36</f>
        <v>80.038034470588201</v>
      </c>
      <c r="H36" s="55">
        <f>$F$29*(B/COUNT($C$34:$C$38))+G36*TAN(RADIANS($F$28))</f>
        <v>45.7691697251731</v>
      </c>
    </row>
    <row r="37" spans="1:11" ht="12.75" customHeight="1" x14ac:dyDescent="0.2">
      <c r="C37" s="33">
        <f>Input!B45</f>
        <v>4</v>
      </c>
      <c r="D37" s="55">
        <f>$F$30*Input!F45*(B/COUNT($C$34:$C$38))*gammaG</f>
        <v>284.99514486566994</v>
      </c>
      <c r="E37" s="55">
        <f>D37*Input!I45</f>
        <v>72.884004260728702</v>
      </c>
      <c r="F37" s="55">
        <f>Input!K45*(B/COUNT($C$34:$C$38))*gammaG</f>
        <v>149.80069153568559</v>
      </c>
      <c r="G37" s="55">
        <f>D37*Input!H45-F37</f>
        <v>125.71728341318465</v>
      </c>
      <c r="H37" s="55">
        <f>$F$29*(B/COUNT($C$34:$C$38))+G37*TAN(RADIANS($F$28))</f>
        <v>59.069879276165899</v>
      </c>
    </row>
    <row r="38" spans="1:11" ht="12.75" customHeight="1" x14ac:dyDescent="0.2">
      <c r="C38" s="33">
        <f>Input!B46</f>
        <v>5</v>
      </c>
      <c r="D38" s="55">
        <f>$F$30*Input!F46*(B/COUNT($C$34:$C$38))*gammaG</f>
        <v>298.43765065444097</v>
      </c>
      <c r="E38" s="55">
        <f>D38*Input!I46</f>
        <v>152.6435196789927</v>
      </c>
      <c r="F38" s="55">
        <f>Input!K46*(B/COUNT($C$34:$C$38))*gammaG</f>
        <v>127.23204713125345</v>
      </c>
      <c r="G38" s="55">
        <f>D38*Input!H46-F38</f>
        <v>129.21480355744404</v>
      </c>
      <c r="H38" s="55">
        <f>$F$29*(B/COUNT($C$34:$C$38))+G38*TAN(RADIANS($F$28))</f>
        <v>60.08827385717138</v>
      </c>
    </row>
    <row r="39" spans="1:11" ht="12.75" customHeight="1" x14ac:dyDescent="0.2">
      <c r="C39" s="53"/>
      <c r="D39" s="62" t="s">
        <v>60</v>
      </c>
      <c r="E39" s="58">
        <f>SUM(E34:E38)</f>
        <v>155.99070919961417</v>
      </c>
      <c r="F39" s="63"/>
      <c r="G39" s="58"/>
      <c r="H39" s="58"/>
    </row>
    <row r="40" spans="1:11" ht="12.75" customHeight="1" x14ac:dyDescent="0.2">
      <c r="C40" s="56"/>
      <c r="D40" s="56"/>
      <c r="E40" s="56"/>
      <c r="F40" s="56"/>
      <c r="G40" s="56"/>
      <c r="H40" s="56"/>
      <c r="I40" s="56"/>
    </row>
    <row r="41" spans="1:11" ht="12.75" customHeight="1" x14ac:dyDescent="0.2">
      <c r="A41" s="59" t="s">
        <v>71</v>
      </c>
      <c r="B41" s="59" t="str">
        <f>"F1 = "&amp;ROUND(F24,3)</f>
        <v>F1 = 2</v>
      </c>
      <c r="C41" s="60" t="str">
        <f>"F2 = "&amp;ROUND(G48/E39,3)</f>
        <v>F2 = 1.244</v>
      </c>
      <c r="D41" s="60" t="str">
        <f>"F2 = "&amp;ROUND($H$48/$E$39,3)</f>
        <v>F2 = 1.221</v>
      </c>
      <c r="E41" s="60" t="str">
        <f>"F2 = "&amp;ROUND($I$48/$E$39,3)</f>
        <v>F2 = 1.22</v>
      </c>
      <c r="F41" s="60" t="str">
        <f>"F2 = "&amp;ROUND($J$48/$E$39,3)</f>
        <v>F2 = 1.22</v>
      </c>
      <c r="G41" s="60" t="str">
        <f>B41</f>
        <v>F1 = 2</v>
      </c>
      <c r="H41" s="60" t="str">
        <f t="shared" ref="H41:K41" si="0">C41</f>
        <v>F2 = 1.244</v>
      </c>
      <c r="I41" s="60" t="str">
        <f t="shared" si="0"/>
        <v>F2 = 1.221</v>
      </c>
      <c r="J41" s="60" t="str">
        <f t="shared" si="0"/>
        <v>F2 = 1.22</v>
      </c>
      <c r="K41" s="60" t="str">
        <f t="shared" si="0"/>
        <v>F2 = 1.22</v>
      </c>
    </row>
    <row r="42" spans="1:11" ht="65.099999999999994" customHeight="1" x14ac:dyDescent="0.2">
      <c r="A42" s="65" t="s">
        <v>64</v>
      </c>
      <c r="B42" s="65" t="s">
        <v>93</v>
      </c>
      <c r="C42" s="65" t="s">
        <v>93</v>
      </c>
      <c r="D42" s="65" t="s">
        <v>93</v>
      </c>
      <c r="E42" s="65" t="s">
        <v>93</v>
      </c>
      <c r="F42" s="65" t="s">
        <v>93</v>
      </c>
      <c r="G42" s="65" t="s">
        <v>92</v>
      </c>
      <c r="H42" s="65" t="s">
        <v>92</v>
      </c>
      <c r="I42" s="65" t="s">
        <v>92</v>
      </c>
      <c r="J42" s="65" t="s">
        <v>92</v>
      </c>
      <c r="K42" s="65" t="s">
        <v>92</v>
      </c>
    </row>
    <row r="43" spans="1:11" ht="12.75" customHeight="1" x14ac:dyDescent="0.2">
      <c r="A43" s="33">
        <f>C34</f>
        <v>1</v>
      </c>
      <c r="B43" s="55">
        <f>Input!H42+Input!I42*TAN(RADIANS($F$28))/$F$24</f>
        <v>0.78483318417886694</v>
      </c>
      <c r="C43" s="55">
        <f>Input!H42+Input!I42*TAN(RADIANS($F$28))/($G$48/$E$39)</f>
        <v>0.73960694855278619</v>
      </c>
      <c r="D43" s="55">
        <f>Input!H42+Input!I42*TAN(RADIANS($F$28))/($H$48/$E$39)</f>
        <v>0.73729610745553287</v>
      </c>
      <c r="E43" s="55">
        <f>Input!H42+Input!I42*TAN(RADIANS($F$28))/($I$48/$E$39)</f>
        <v>0.7371817797554473</v>
      </c>
      <c r="F43" s="55">
        <f>Input!H42+Input!I42*TAN(RADIANS($F$28))/($J$48/$E$39)</f>
        <v>0.73717613277462346</v>
      </c>
      <c r="G43" s="55">
        <f>H34/B43</f>
        <v>-0.95181914199481843</v>
      </c>
      <c r="H43" s="55">
        <f>H34/C43</f>
        <v>-1.0100219440013485</v>
      </c>
      <c r="I43" s="55">
        <f>H34/D43</f>
        <v>-1.0131875652405284</v>
      </c>
      <c r="J43" s="55">
        <f>H34/E43</f>
        <v>-1.0133446979956648</v>
      </c>
      <c r="K43" s="55">
        <f>H34/F43</f>
        <v>-1.0133524605069875</v>
      </c>
    </row>
    <row r="44" spans="1:11" ht="12.75" customHeight="1" x14ac:dyDescent="0.2">
      <c r="A44" s="33">
        <f t="shared" ref="A44:A47" si="1">C35</f>
        <v>2</v>
      </c>
      <c r="B44" s="55">
        <f>Input!H43+Input!I43*TAN(RADIANS($F$28))/$F$24</f>
        <v>0.92951384077689225</v>
      </c>
      <c r="C44" s="55">
        <f>Input!H43+Input!I43*TAN(RADIANS($F$28))/($G$48/$E$39)</f>
        <v>0.90690072296385194</v>
      </c>
      <c r="D44" s="55">
        <f>Input!H43+Input!I43*TAN(RADIANS($F$28))/($H$48/$E$39)</f>
        <v>0.90574530241522522</v>
      </c>
      <c r="E44" s="55">
        <f>Input!H43+Input!I43*TAN(RADIANS($F$28))/($I$48/$E$39)</f>
        <v>0.90568813856518238</v>
      </c>
      <c r="F44" s="55">
        <f>Input!H43+Input!I43*TAN(RADIANS($F$28))/($J$48/$E$39)</f>
        <v>0.90568531507477057</v>
      </c>
      <c r="G44" s="55">
        <f>H35/B44</f>
        <v>26.092780534134928</v>
      </c>
      <c r="H44" s="55">
        <f>H35/C44</f>
        <v>26.743391020318999</v>
      </c>
      <c r="I44" s="55">
        <f>H35/D44</f>
        <v>26.777506420578256</v>
      </c>
      <c r="J44" s="55">
        <f t="shared" ref="J44:J47" si="2">H35/E44</f>
        <v>26.779196522608267</v>
      </c>
      <c r="K44" s="55">
        <f t="shared" ref="K44:K47" si="3">H35/F44</f>
        <v>26.779280007239585</v>
      </c>
    </row>
    <row r="45" spans="1:11" ht="12.75" customHeight="1" x14ac:dyDescent="0.2">
      <c r="A45" s="33">
        <f t="shared" si="1"/>
        <v>3</v>
      </c>
      <c r="B45" s="55">
        <f>Input!H44+Input!I44*TAN(RADIANS($F$28))/$F$24</f>
        <v>1</v>
      </c>
      <c r="C45" s="55">
        <f>Input!H44+Input!I44*TAN(RADIANS($F$28))/($G$48/$E$39)</f>
        <v>1</v>
      </c>
      <c r="D45" s="55">
        <f>Input!H44+Input!I44*TAN(RADIANS($F$28))/($H$48/$E$39)</f>
        <v>1</v>
      </c>
      <c r="E45" s="55">
        <f>Input!H44+Input!I44*TAN(RADIANS($F$28))/($I$48/$E$39)</f>
        <v>1</v>
      </c>
      <c r="F45" s="55">
        <f>Input!H44+Input!I44*TAN(RADIANS($F$28))/($J$48/$E$39)</f>
        <v>1</v>
      </c>
      <c r="G45" s="55">
        <f>H36/B45</f>
        <v>45.7691697251731</v>
      </c>
      <c r="H45" s="55">
        <f>H36/C45</f>
        <v>45.7691697251731</v>
      </c>
      <c r="I45" s="55">
        <f>H36/D45</f>
        <v>45.7691697251731</v>
      </c>
      <c r="J45" s="55">
        <f t="shared" si="2"/>
        <v>45.7691697251731</v>
      </c>
      <c r="K45" s="55">
        <f t="shared" si="3"/>
        <v>45.7691697251731</v>
      </c>
    </row>
    <row r="46" spans="1:11" ht="12.75" customHeight="1" x14ac:dyDescent="0.2">
      <c r="A46" s="33">
        <f t="shared" si="1"/>
        <v>4</v>
      </c>
      <c r="B46" s="55">
        <f>Input!H45+Input!I45*TAN(RADIANS($F$28))/$F$24</f>
        <v>1.003978570672666</v>
      </c>
      <c r="C46" s="55">
        <f>Input!H45+Input!I45*TAN(RADIANS($F$28))/($G$48/$E$39)</f>
        <v>1.0265916884857065</v>
      </c>
      <c r="D46" s="55">
        <f>Input!H45+Input!I45*TAN(RADIANS($F$28))/($H$48/$E$39)</f>
        <v>1.0277471090343331</v>
      </c>
      <c r="E46" s="55">
        <f>Input!H45+Input!I45*TAN(RADIANS($F$28))/($I$48/$E$39)</f>
        <v>1.0278042728843759</v>
      </c>
      <c r="F46" s="55">
        <f>Input!H45+Input!I45*TAN(RADIANS($F$28))/($J$48/$E$39)</f>
        <v>1.0278070963747878</v>
      </c>
      <c r="G46" s="55">
        <f>H37/B46</f>
        <v>58.835796900116158</v>
      </c>
      <c r="H46" s="55">
        <f>H37/C46</f>
        <v>57.539798869108367</v>
      </c>
      <c r="I46" s="55">
        <f>H37/D46</f>
        <v>57.475111101667522</v>
      </c>
      <c r="J46" s="55">
        <f t="shared" si="2"/>
        <v>57.471914482701351</v>
      </c>
      <c r="K46" s="55">
        <f t="shared" si="3"/>
        <v>57.471756601519111</v>
      </c>
    </row>
    <row r="47" spans="1:11" ht="12.75" customHeight="1" x14ac:dyDescent="0.2">
      <c r="A47" s="33">
        <f t="shared" si="1"/>
        <v>5</v>
      </c>
      <c r="B47" s="55">
        <f>Input!H46+Input!I46*TAN(RADIANS($F$28))/$F$24</f>
        <v>0.93376264397041475</v>
      </c>
      <c r="C47" s="55">
        <f>Input!H46+Input!I46*TAN(RADIANS($F$28))/($G$48/$E$39)</f>
        <v>0.9789888795964955</v>
      </c>
      <c r="D47" s="55">
        <f>Input!H46+Input!I46*TAN(RADIANS($F$28))/($H$48/$E$39)</f>
        <v>0.98129972069374882</v>
      </c>
      <c r="E47" s="55">
        <f>Input!H46+Input!I46*TAN(RADIANS($F$28))/($I$48/$E$39)</f>
        <v>0.98141404839383439</v>
      </c>
      <c r="F47" s="55">
        <f>Input!H46+Input!I46*TAN(RADIANS($F$28))/($J$48/$E$39)</f>
        <v>0.98141969537465823</v>
      </c>
      <c r="G47" s="55">
        <f>H38/B47</f>
        <v>64.350693664154775</v>
      </c>
      <c r="H47" s="55">
        <f>H38/C47</f>
        <v>61.37789213901759</v>
      </c>
      <c r="I47" s="55">
        <f>H38/D47</f>
        <v>61.233354692785213</v>
      </c>
      <c r="J47" s="55">
        <f t="shared" si="2"/>
        <v>61.226221445995023</v>
      </c>
      <c r="K47" s="55">
        <f t="shared" si="3"/>
        <v>61.225869157060892</v>
      </c>
    </row>
    <row r="48" spans="1:11" ht="12.75" customHeight="1" x14ac:dyDescent="0.2">
      <c r="A48" s="53"/>
      <c r="B48" s="53"/>
      <c r="C48" s="53"/>
      <c r="D48" s="53"/>
      <c r="E48" s="53"/>
      <c r="F48" s="48" t="s">
        <v>60</v>
      </c>
      <c r="G48" s="58">
        <f>SUM(G43:G47)</f>
        <v>194.09662168158417</v>
      </c>
      <c r="H48" s="58">
        <f>SUM(H43:H47)</f>
        <v>190.42022980961673</v>
      </c>
      <c r="I48" s="58">
        <f>SUM(I43:I47)</f>
        <v>190.24195437496357</v>
      </c>
      <c r="J48" s="58">
        <f t="shared" ref="J48:K48" si="4">SUM(J43:J47)</f>
        <v>190.2331574784821</v>
      </c>
      <c r="K48" s="58">
        <f t="shared" si="4"/>
        <v>190.23272303048569</v>
      </c>
    </row>
    <row r="49" spans="1:11" ht="12.75" customHeight="1" x14ac:dyDescent="0.2">
      <c r="A49" s="53"/>
      <c r="B49" s="48" t="s">
        <v>62</v>
      </c>
      <c r="C49" s="68">
        <f>$K$48/$E$39</f>
        <v>1.219513162075913</v>
      </c>
      <c r="D49" s="69" t="str">
        <f>IF(C49&lt;1,"FAILURE! Slope is unstable","SAFE. Slope is stable")</f>
        <v>SAFE. Slope is stable</v>
      </c>
      <c r="E49" s="53"/>
      <c r="F49" s="53"/>
      <c r="G49" s="53"/>
      <c r="H49" s="53"/>
      <c r="I49" s="53"/>
      <c r="J49" s="53"/>
      <c r="K49" s="53"/>
    </row>
    <row r="50" spans="1:11" ht="12.75" customHeight="1" x14ac:dyDescent="0.2"/>
    <row r="51" spans="1:11" ht="12.75" customHeight="1" x14ac:dyDescent="0.2"/>
    <row r="52" spans="1:11" ht="12.75" customHeight="1" x14ac:dyDescent="0.2"/>
    <row r="53" spans="1:11" ht="12.75" customHeight="1" x14ac:dyDescent="0.2"/>
    <row r="54" spans="1:11" ht="12.75" customHeight="1" x14ac:dyDescent="0.2"/>
  </sheetData>
  <mergeCells count="10">
    <mergeCell ref="B7:J7"/>
    <mergeCell ref="A1:C3"/>
    <mergeCell ref="D1:I1"/>
    <mergeCell ref="J1:K1"/>
    <mergeCell ref="D3:I3"/>
    <mergeCell ref="J3:K3"/>
    <mergeCell ref="A4:C6"/>
    <mergeCell ref="D5:E5"/>
    <mergeCell ref="F5:G5"/>
    <mergeCell ref="I5:J5"/>
  </mergeCells>
  <conditionalFormatting sqref="C49">
    <cfRule type="expression" dxfId="1" priority="1">
      <formula>$C$49&lt;1</formula>
    </cfRule>
  </conditionalFormatting>
  <conditionalFormatting sqref="D49">
    <cfRule type="containsText" dxfId="0" priority="2" operator="containsText" text="FAILURE">
      <formula>NOT(ISERROR(SEARCH("FAILURE",D49)))</formula>
    </cfRule>
  </conditionalFormatting>
  <pageMargins left="0.25" right="0.25"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39</vt:i4>
      </vt:variant>
    </vt:vector>
  </HeadingPairs>
  <TitlesOfParts>
    <vt:vector size="44" baseType="lpstr">
      <vt:lpstr>Input</vt:lpstr>
      <vt:lpstr>Conventional Method (DA1-C1)</vt:lpstr>
      <vt:lpstr>Conventional Method (DA1-C2)</vt:lpstr>
      <vt:lpstr>Routine Method (DA1-C1)</vt:lpstr>
      <vt:lpstr>Routine Method (DA1-C2)</vt:lpstr>
      <vt:lpstr>B</vt:lpstr>
      <vt:lpstr>Cohesion</vt:lpstr>
      <vt:lpstr>'Conventional Method (DA1-C1)'!gammaC</vt:lpstr>
      <vt:lpstr>'Conventional Method (DA1-C2)'!gammaC</vt:lpstr>
      <vt:lpstr>'Routine Method (DA1-C1)'!gammaC</vt:lpstr>
      <vt:lpstr>'Routine Method (DA1-C2)'!gammaC</vt:lpstr>
      <vt:lpstr>'Conventional Method (DA1-C1)'!gammaG</vt:lpstr>
      <vt:lpstr>'Conventional Method (DA1-C2)'!gammaG</vt:lpstr>
      <vt:lpstr>'Routine Method (DA1-C1)'!gammaG</vt:lpstr>
      <vt:lpstr>'Routine Method (DA1-C2)'!gammaG</vt:lpstr>
      <vt:lpstr>'Conventional Method (DA1-C1)'!gammaG.fav</vt:lpstr>
      <vt:lpstr>'Conventional Method (DA1-C2)'!gammaG.fav</vt:lpstr>
      <vt:lpstr>'Routine Method (DA1-C1)'!gammaG.fav</vt:lpstr>
      <vt:lpstr>'Routine Method (DA1-C2)'!gammaG.fav</vt:lpstr>
      <vt:lpstr>'Conventional Method (DA1-C1)'!gammagamma</vt:lpstr>
      <vt:lpstr>'Conventional Method (DA1-C2)'!gammagamma</vt:lpstr>
      <vt:lpstr>'Routine Method (DA1-C1)'!gammagamma</vt:lpstr>
      <vt:lpstr>'Routine Method (DA1-C2)'!gammagamma</vt:lpstr>
      <vt:lpstr>'Conventional Method (DA1-C1)'!gammaPhi</vt:lpstr>
      <vt:lpstr>'Conventional Method (DA1-C2)'!gammaPhi</vt:lpstr>
      <vt:lpstr>'Routine Method (DA1-C1)'!gammaPhi</vt:lpstr>
      <vt:lpstr>'Routine Method (DA1-C2)'!gammaPhi</vt:lpstr>
      <vt:lpstr>'Conventional Method (DA1-C1)'!gammaQ</vt:lpstr>
      <vt:lpstr>'Conventional Method (DA1-C2)'!gammaQ</vt:lpstr>
      <vt:lpstr>'Routine Method (DA1-C1)'!gammaQ</vt:lpstr>
      <vt:lpstr>'Routine Method (DA1-C2)'!gammaQ</vt:lpstr>
      <vt:lpstr>'Conventional Method (DA1-C1)'!gammaQ.fav</vt:lpstr>
      <vt:lpstr>'Conventional Method (DA1-C2)'!gammaQ.fav</vt:lpstr>
      <vt:lpstr>'Routine Method (DA1-C1)'!gammaQ.fav</vt:lpstr>
      <vt:lpstr>'Routine Method (DA1-C2)'!gammaQ.fav</vt:lpstr>
      <vt:lpstr>gammasoil</vt:lpstr>
      <vt:lpstr>H</vt:lpstr>
      <vt:lpstr>Hc</vt:lpstr>
      <vt:lpstr>Phi</vt:lpstr>
      <vt:lpstr>Radius</vt:lpstr>
      <vt:lpstr>Vc</vt:lpstr>
      <vt:lpstr>Xc</vt:lpstr>
      <vt:lpstr>Xcrest</vt:lpstr>
      <vt:lpstr>Yc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Elements of Soil Mechanics, 9th Edition</dc:title>
  <dc:subject/>
  <dc:creator>Ian Smith</dc:creator>
  <cp:keywords/>
  <dc:description/>
  <cp:lastModifiedBy>Aminul Islam</cp:lastModifiedBy>
  <cp:lastPrinted>2025-12-14T14:08:51Z</cp:lastPrinted>
  <dcterms:created xsi:type="dcterms:W3CDTF">2005-09-08T15:52:27Z</dcterms:created>
  <dcterms:modified xsi:type="dcterms:W3CDTF">2025-12-14T15:21:13Z</dcterms:modified>
  <cp:category/>
</cp:coreProperties>
</file>