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showInkAnnotation="0" updateLinks="never" autoCompressPictures="0"/>
  <mc:AlternateContent xmlns:mc="http://schemas.openxmlformats.org/markup-compatibility/2006">
    <mc:Choice Requires="x15">
      <x15ac:absPath xmlns:x15ac="http://schemas.microsoft.com/office/spreadsheetml/2010/11/ac" url="C:\Users\aminu\OneDrive\Desktop\"/>
    </mc:Choice>
  </mc:AlternateContent>
  <xr:revisionPtr revIDLastSave="0" documentId="13_ncr:1_{2BDB9440-9FC8-4363-B756-5CC573D8F007}" xr6:coauthVersionLast="47" xr6:coauthVersionMax="47" xr10:uidLastSave="{00000000-0000-0000-0000-000000000000}"/>
  <bookViews>
    <workbookView xWindow="-120" yWindow="-120" windowWidth="29040" windowHeight="15840" xr2:uid="{00000000-000D-0000-FFFF-FFFF00000000}"/>
  </bookViews>
  <sheets>
    <sheet name="Data input" sheetId="11" r:id="rId1"/>
    <sheet name="EC7 (DA1-1)" sheetId="12" r:id="rId2"/>
    <sheet name="EC7 (DA1-2)" sheetId="14" r:id="rId3"/>
  </sheets>
  <definedNames>
    <definedName name="D">'Data input'!$F$22</definedName>
    <definedName name="Dewatered">'Data input'!$F$27</definedName>
    <definedName name="EGL">'Data input'!$F$24</definedName>
    <definedName name="Exc">'Data input'!$F$26</definedName>
    <definedName name="Fup">'Data input'!$F$33</definedName>
    <definedName name="gammab" localSheetId="1">'EC7 (DA1-1)'!$F$25</definedName>
    <definedName name="gammab" localSheetId="2">'EC7 (DA1-2)'!$F$25</definedName>
    <definedName name="gammaC" localSheetId="1">'EC7 (DA1-1)'!$F$20</definedName>
    <definedName name="gammaC" localSheetId="2">'EC7 (DA1-2)'!$F$20</definedName>
    <definedName name="gammaConc">'Data input'!$F$23</definedName>
    <definedName name="gammacu" localSheetId="1">'EC7 (DA1-1)'!$F$21</definedName>
    <definedName name="gammacu" localSheetId="2">'EC7 (DA1-2)'!$F$21</definedName>
    <definedName name="gammaG" localSheetId="1">'EC7 (DA1-1)'!$F$15</definedName>
    <definedName name="gammaG" localSheetId="2">'EC7 (DA1-2)'!$F$15</definedName>
    <definedName name="gammagamma" localSheetId="1">'EC7 (DA1-1)'!$F$22</definedName>
    <definedName name="gammagamma" localSheetId="2">'EC7 (DA1-2)'!$F$22</definedName>
    <definedName name="gammaPhi" localSheetId="1">'EC7 (DA1-1)'!$F$19</definedName>
    <definedName name="gammaPhi" localSheetId="2">'EC7 (DA1-2)'!$F$19</definedName>
    <definedName name="gammaQ" localSheetId="1">'EC7 (DA1-1)'!$F$16</definedName>
    <definedName name="gammaQ" localSheetId="2">'EC7 (DA1-2)'!$F$16</definedName>
    <definedName name="gammas" localSheetId="2">'EC7 (DA1-2)'!$F$26</definedName>
    <definedName name="gammas">'EC7 (DA1-1)'!$F$26</definedName>
    <definedName name="gammast" localSheetId="1">'EC7 (DA1-1)'!$F$28</definedName>
    <definedName name="gammast" localSheetId="2">'EC7 (DA1-2)'!$F$28</definedName>
    <definedName name="gammat" localSheetId="1">'EC7 (DA1-1)'!$F$27</definedName>
    <definedName name="gammat" localSheetId="2">'EC7 (DA1-2)'!$F$27</definedName>
    <definedName name="GWT">'Data input'!$F$25</definedName>
    <definedName name="L">'Data input'!$F$21</definedName>
    <definedName name="limit.f.t">'Data input'!$F$50</definedName>
    <definedName name="limit.fb">'Data input'!$F$48</definedName>
    <definedName name="limit.fs">'Data input'!$F$49</definedName>
    <definedName name="PL">'Data input'!$F$52</definedName>
    <definedName name="_xlnm.Print_Area" localSheetId="0">'Data input'!$A$1:$K$116</definedName>
    <definedName name="_xlnm.Print_Area" localSheetId="1">'EC7 (DA1-1)'!$A$1:$K$59</definedName>
    <definedName name="_xlnm.Print_Area" localSheetId="2">'EC7 (DA1-2)'!$A$1:$K$59</definedName>
    <definedName name="Vp">'Data input'!$F$31</definedName>
    <definedName name="Vv">'Data input'!$F$32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67" i="12" l="1"/>
  <c r="F36" i="14"/>
  <c r="F32" i="14"/>
  <c r="F92" i="11" s="1"/>
  <c r="F31" i="14"/>
  <c r="F91" i="11" s="1"/>
  <c r="K6" i="14"/>
  <c r="I6" i="14"/>
  <c r="H6" i="14"/>
  <c r="F6" i="14"/>
  <c r="D6" i="14"/>
  <c r="D4" i="14"/>
  <c r="J2" i="14"/>
  <c r="D2" i="14"/>
  <c r="K6" i="12"/>
  <c r="I6" i="12"/>
  <c r="H6" i="12"/>
  <c r="F6" i="12"/>
  <c r="D6" i="12"/>
  <c r="D4" i="12"/>
  <c r="J2" i="12"/>
  <c r="D2" i="12"/>
  <c r="F32" i="12"/>
  <c r="F63" i="11" s="1"/>
  <c r="F31" i="12"/>
  <c r="F62" i="11" s="1"/>
  <c r="F36" i="12" l="1"/>
  <c r="F52" i="11"/>
  <c r="C39" i="11"/>
  <c r="A67" i="14" s="1"/>
  <c r="F67" i="14" l="1"/>
  <c r="E67" i="14"/>
  <c r="J67" i="14" s="1"/>
  <c r="B67" i="14"/>
  <c r="P67" i="14" s="1" a="1"/>
  <c r="P67" i="14" s="1"/>
  <c r="D67" i="14"/>
  <c r="R67" i="14" s="1"/>
  <c r="F37" i="12"/>
  <c r="F37" i="14"/>
  <c r="A67" i="12"/>
  <c r="C67" i="14" l="1"/>
  <c r="G67" i="14"/>
  <c r="AF67" i="14"/>
  <c r="H67" i="14"/>
  <c r="L67" i="14" s="1"/>
  <c r="AA67" i="14"/>
  <c r="Y67" i="14"/>
  <c r="N67" i="14"/>
  <c r="M67" i="14"/>
  <c r="T67" i="14" s="1"/>
  <c r="Q67" i="14" a="1"/>
  <c r="Q67" i="14" s="1"/>
  <c r="Z67" i="14"/>
  <c r="AB67" i="14"/>
  <c r="V67" i="14"/>
  <c r="AC67" i="14"/>
  <c r="AH67" i="14"/>
  <c r="AD67" i="14"/>
  <c r="AE67" i="14"/>
  <c r="U67" i="14"/>
  <c r="A68" i="14"/>
  <c r="D68" i="14" s="1"/>
  <c r="W67" i="14"/>
  <c r="AG67" i="14"/>
  <c r="X67" i="14"/>
  <c r="I67" i="14"/>
  <c r="S67" i="14"/>
  <c r="D67" i="12"/>
  <c r="F67" i="12"/>
  <c r="M67" i="12" s="1"/>
  <c r="E67" i="12"/>
  <c r="B67" i="12"/>
  <c r="Q67" i="12" s="1" a="1"/>
  <c r="Q67" i="12" s="1"/>
  <c r="I67" i="12" l="1"/>
  <c r="K67" i="14"/>
  <c r="F68" i="14"/>
  <c r="N68" i="14" s="1"/>
  <c r="B68" i="14"/>
  <c r="C68" i="14" s="1"/>
  <c r="E68" i="14"/>
  <c r="O67" i="14"/>
  <c r="S68" i="14"/>
  <c r="R68" i="14"/>
  <c r="P67" i="12" a="1"/>
  <c r="P67" i="12" s="1"/>
  <c r="Z67" i="12"/>
  <c r="AG67" i="12"/>
  <c r="AA67" i="12"/>
  <c r="AH67" i="12"/>
  <c r="C67" i="12"/>
  <c r="X67" i="12"/>
  <c r="V67" i="12"/>
  <c r="U67" i="12"/>
  <c r="AF67" i="12"/>
  <c r="AE67" i="12"/>
  <c r="AD67" i="12"/>
  <c r="AC67" i="12"/>
  <c r="AB67" i="12"/>
  <c r="Y67" i="12"/>
  <c r="H67" i="12"/>
  <c r="J67" i="12"/>
  <c r="N67" i="12"/>
  <c r="T67" i="12"/>
  <c r="S67" i="12"/>
  <c r="R67" i="12"/>
  <c r="G67" i="12"/>
  <c r="A68" i="12"/>
  <c r="G68" i="14" l="1"/>
  <c r="P68" i="14" a="1"/>
  <c r="P68" i="14" s="1"/>
  <c r="Z68" i="14"/>
  <c r="Q68" i="14" a="1"/>
  <c r="Q68" i="14" s="1"/>
  <c r="J68" i="14"/>
  <c r="M68" i="14"/>
  <c r="O68" i="14" s="1"/>
  <c r="AB68" i="14"/>
  <c r="W68" i="14"/>
  <c r="AC68" i="14"/>
  <c r="X68" i="14"/>
  <c r="AE68" i="14"/>
  <c r="H68" i="14"/>
  <c r="AG68" i="14"/>
  <c r="V68" i="14"/>
  <c r="U68" i="14"/>
  <c r="Y68" i="14"/>
  <c r="A69" i="14"/>
  <c r="F69" i="14" s="1"/>
  <c r="I68" i="14"/>
  <c r="K68" i="14" s="1"/>
  <c r="AA68" i="14"/>
  <c r="AD68" i="14"/>
  <c r="AF68" i="14"/>
  <c r="AH68" i="14"/>
  <c r="L67" i="12"/>
  <c r="O67" i="12"/>
  <c r="F68" i="12"/>
  <c r="D68" i="12"/>
  <c r="E68" i="12"/>
  <c r="B68" i="12"/>
  <c r="Q68" i="12" s="1" a="1"/>
  <c r="Q68" i="12" s="1"/>
  <c r="K67" i="12"/>
  <c r="J68" i="12" l="1"/>
  <c r="L68" i="14"/>
  <c r="T68" i="14"/>
  <c r="M68" i="12"/>
  <c r="T68" i="12" s="1"/>
  <c r="M69" i="14"/>
  <c r="T69" i="14" s="1"/>
  <c r="B69" i="14"/>
  <c r="V69" i="14" s="1"/>
  <c r="E69" i="14"/>
  <c r="D69" i="14"/>
  <c r="R69" i="14" s="1"/>
  <c r="N69" i="14"/>
  <c r="P68" i="12" a="1"/>
  <c r="P68" i="12" s="1"/>
  <c r="AG68" i="12"/>
  <c r="Z68" i="12"/>
  <c r="AH68" i="12"/>
  <c r="AA68" i="12"/>
  <c r="C68" i="12"/>
  <c r="U68" i="12"/>
  <c r="V68" i="12"/>
  <c r="W68" i="12"/>
  <c r="AE68" i="12"/>
  <c r="X68" i="12"/>
  <c r="Y68" i="12"/>
  <c r="AB68" i="12"/>
  <c r="AD68" i="12"/>
  <c r="AC68" i="12"/>
  <c r="AF68" i="12"/>
  <c r="N68" i="12"/>
  <c r="I68" i="12"/>
  <c r="G68" i="12"/>
  <c r="H68" i="12"/>
  <c r="A69" i="12"/>
  <c r="S68" i="12"/>
  <c r="R68" i="12"/>
  <c r="O68" i="12" l="1"/>
  <c r="I69" i="14"/>
  <c r="W69" i="14"/>
  <c r="AD69" i="14"/>
  <c r="U69" i="14"/>
  <c r="AC69" i="14"/>
  <c r="AE69" i="14"/>
  <c r="G69" i="14"/>
  <c r="C69" i="14"/>
  <c r="X69" i="14"/>
  <c r="H69" i="14"/>
  <c r="Y69" i="14"/>
  <c r="AG69" i="14"/>
  <c r="AA69" i="14"/>
  <c r="AF69" i="14"/>
  <c r="AH69" i="14"/>
  <c r="Z69" i="14"/>
  <c r="AB69" i="14"/>
  <c r="Q69" i="14" a="1"/>
  <c r="Q69" i="14" s="1"/>
  <c r="A70" i="14"/>
  <c r="E70" i="14" s="1"/>
  <c r="P69" i="14" a="1"/>
  <c r="P69" i="14" s="1"/>
  <c r="S69" i="14"/>
  <c r="O69" i="14"/>
  <c r="J69" i="14"/>
  <c r="K68" i="12"/>
  <c r="L68" i="12"/>
  <c r="E69" i="12"/>
  <c r="F69" i="12"/>
  <c r="B69" i="12"/>
  <c r="Q69" i="12" s="1" a="1"/>
  <c r="Q69" i="12" s="1"/>
  <c r="D69" i="12"/>
  <c r="M69" i="12" l="1"/>
  <c r="T69" i="12" s="1"/>
  <c r="K69" i="14"/>
  <c r="L69" i="14"/>
  <c r="B70" i="14"/>
  <c r="C70" i="14" s="1"/>
  <c r="D70" i="14"/>
  <c r="F70" i="14"/>
  <c r="M70" i="14" s="1"/>
  <c r="T70" i="14" s="1"/>
  <c r="I69" i="12"/>
  <c r="AD70" i="14"/>
  <c r="P69" i="12" a="1"/>
  <c r="P69" i="12" s="1"/>
  <c r="Z69" i="12"/>
  <c r="AG69" i="12"/>
  <c r="AH69" i="12"/>
  <c r="AA69" i="12"/>
  <c r="C69" i="12"/>
  <c r="AE69" i="12"/>
  <c r="AC69" i="12"/>
  <c r="AF69" i="12"/>
  <c r="U69" i="12"/>
  <c r="V69" i="12"/>
  <c r="W69" i="12"/>
  <c r="X69" i="12"/>
  <c r="Y69" i="12"/>
  <c r="AB69" i="12"/>
  <c r="AD69" i="12"/>
  <c r="G69" i="12"/>
  <c r="J69" i="12"/>
  <c r="H69" i="12"/>
  <c r="A70" i="12"/>
  <c r="N69" i="12"/>
  <c r="S69" i="12"/>
  <c r="R69" i="12"/>
  <c r="AF70" i="14" l="1"/>
  <c r="W70" i="14"/>
  <c r="AH70" i="14"/>
  <c r="AC70" i="14"/>
  <c r="AG70" i="14"/>
  <c r="AE70" i="14"/>
  <c r="A71" i="14"/>
  <c r="B71" i="14" s="1"/>
  <c r="C71" i="14" s="1"/>
  <c r="U70" i="14"/>
  <c r="H70" i="14"/>
  <c r="J70" i="14"/>
  <c r="V70" i="14"/>
  <c r="I70" i="14"/>
  <c r="X70" i="14"/>
  <c r="Y70" i="14"/>
  <c r="S70" i="14"/>
  <c r="P70" i="14" a="1"/>
  <c r="P70" i="14" s="1"/>
  <c r="R70" i="14" s="1"/>
  <c r="Q70" i="14" a="1"/>
  <c r="Q70" i="14" s="1"/>
  <c r="G70" i="14"/>
  <c r="Z70" i="14"/>
  <c r="AA70" i="14"/>
  <c r="AB70" i="14"/>
  <c r="N70" i="14"/>
  <c r="O70" i="14" s="1"/>
  <c r="K69" i="12"/>
  <c r="L69" i="12"/>
  <c r="B70" i="12"/>
  <c r="Q70" i="12" s="1" a="1"/>
  <c r="Q70" i="12" s="1"/>
  <c r="F70" i="12"/>
  <c r="E70" i="12"/>
  <c r="D70" i="12"/>
  <c r="O69" i="12"/>
  <c r="M70" i="12" l="1"/>
  <c r="D71" i="14"/>
  <c r="S71" i="14" s="1"/>
  <c r="K70" i="14"/>
  <c r="E71" i="14"/>
  <c r="I71" i="14" s="1"/>
  <c r="F71" i="14"/>
  <c r="M71" i="14" s="1"/>
  <c r="T71" i="14" s="1"/>
  <c r="L70" i="14"/>
  <c r="I70" i="12"/>
  <c r="H70" i="12"/>
  <c r="AG71" i="14"/>
  <c r="U71" i="14"/>
  <c r="AE71" i="14"/>
  <c r="AC71" i="14"/>
  <c r="AB71" i="14"/>
  <c r="Q71" i="14" a="1"/>
  <c r="Q71" i="14" s="1"/>
  <c r="Z71" i="14"/>
  <c r="AA71" i="14"/>
  <c r="Y71" i="14"/>
  <c r="H71" i="14"/>
  <c r="W71" i="14"/>
  <c r="AF71" i="14"/>
  <c r="X71" i="14"/>
  <c r="V71" i="14"/>
  <c r="AD71" i="14"/>
  <c r="A72" i="14"/>
  <c r="AH71" i="14"/>
  <c r="P71" i="14" a="1"/>
  <c r="P71" i="14" s="1"/>
  <c r="G71" i="14"/>
  <c r="P70" i="12" a="1"/>
  <c r="P70" i="12" s="1"/>
  <c r="R70" i="12" s="1"/>
  <c r="Z70" i="12"/>
  <c r="AG70" i="12"/>
  <c r="AA70" i="12"/>
  <c r="AH70" i="12"/>
  <c r="AC70" i="12"/>
  <c r="AD70" i="12"/>
  <c r="AE70" i="12"/>
  <c r="AF70" i="12"/>
  <c r="U70" i="12"/>
  <c r="V70" i="12"/>
  <c r="W70" i="12"/>
  <c r="X70" i="12"/>
  <c r="Y70" i="12"/>
  <c r="AB70" i="12"/>
  <c r="A71" i="12"/>
  <c r="F71" i="12" s="1"/>
  <c r="G70" i="12"/>
  <c r="C70" i="12"/>
  <c r="J70" i="12"/>
  <c r="S70" i="12"/>
  <c r="N70" i="12"/>
  <c r="T70" i="12"/>
  <c r="R71" i="14" l="1"/>
  <c r="J71" i="14"/>
  <c r="L71" i="14" s="1"/>
  <c r="N71" i="14"/>
  <c r="O71" i="14" s="1"/>
  <c r="K71" i="14"/>
  <c r="K70" i="12"/>
  <c r="N71" i="12"/>
  <c r="M71" i="12"/>
  <c r="L70" i="12"/>
  <c r="F72" i="14"/>
  <c r="D72" i="14"/>
  <c r="E72" i="14"/>
  <c r="B72" i="14"/>
  <c r="P72" i="14" s="1" a="1"/>
  <c r="P72" i="14" s="1"/>
  <c r="E71" i="12"/>
  <c r="O70" i="12"/>
  <c r="D71" i="12"/>
  <c r="B71" i="12"/>
  <c r="Q71" i="12" s="1" a="1"/>
  <c r="Q71" i="12" s="1"/>
  <c r="I72" i="14" l="1"/>
  <c r="M72" i="14"/>
  <c r="T72" i="14" s="1"/>
  <c r="N72" i="14"/>
  <c r="C72" i="14"/>
  <c r="J72" i="14"/>
  <c r="R72" i="14"/>
  <c r="S72" i="14"/>
  <c r="AC72" i="14"/>
  <c r="AB72" i="14"/>
  <c r="Q72" i="14" a="1"/>
  <c r="Q72" i="14" s="1"/>
  <c r="AA72" i="14"/>
  <c r="AH72" i="14"/>
  <c r="V72" i="14"/>
  <c r="W72" i="14"/>
  <c r="A73" i="14"/>
  <c r="AG72" i="14"/>
  <c r="AE72" i="14"/>
  <c r="AF72" i="14"/>
  <c r="AD72" i="14"/>
  <c r="H72" i="14"/>
  <c r="Z72" i="14"/>
  <c r="Y72" i="14"/>
  <c r="X72" i="14"/>
  <c r="U72" i="14"/>
  <c r="G72" i="14"/>
  <c r="A72" i="12"/>
  <c r="D72" i="12" s="1"/>
  <c r="G71" i="12"/>
  <c r="H71" i="12"/>
  <c r="I71" i="12"/>
  <c r="J71" i="12"/>
  <c r="C71" i="12"/>
  <c r="P71" i="12" a="1"/>
  <c r="P71" i="12" s="1"/>
  <c r="R71" i="12" s="1"/>
  <c r="AG71" i="12"/>
  <c r="Z71" i="12"/>
  <c r="AA71" i="12"/>
  <c r="AH71" i="12"/>
  <c r="S71" i="12"/>
  <c r="AB71" i="12"/>
  <c r="AC71" i="12"/>
  <c r="AD71" i="12"/>
  <c r="X71" i="12"/>
  <c r="AE71" i="12"/>
  <c r="AF71" i="12"/>
  <c r="U71" i="12"/>
  <c r="Y71" i="12"/>
  <c r="V71" i="12"/>
  <c r="W71" i="12"/>
  <c r="O71" i="12"/>
  <c r="T71" i="12"/>
  <c r="K72" i="14" l="1"/>
  <c r="O72" i="14"/>
  <c r="F72" i="12"/>
  <c r="L71" i="12"/>
  <c r="L72" i="14"/>
  <c r="B72" i="12"/>
  <c r="Q72" i="12" s="1" a="1"/>
  <c r="Q72" i="12" s="1"/>
  <c r="F73" i="14"/>
  <c r="E73" i="14"/>
  <c r="D73" i="14"/>
  <c r="B73" i="14"/>
  <c r="K71" i="12"/>
  <c r="E72" i="12"/>
  <c r="J72" i="12" s="1"/>
  <c r="P72" i="12" l="1" a="1"/>
  <c r="P72" i="12" s="1"/>
  <c r="R72" i="12" s="1"/>
  <c r="H72" i="12"/>
  <c r="AC72" i="12"/>
  <c r="A73" i="12"/>
  <c r="S72" i="12"/>
  <c r="V72" i="12"/>
  <c r="C72" i="12"/>
  <c r="M73" i="14"/>
  <c r="T73" i="14" s="1"/>
  <c r="X72" i="12"/>
  <c r="W72" i="12"/>
  <c r="U72" i="12"/>
  <c r="N72" i="12"/>
  <c r="M72" i="12"/>
  <c r="T72" i="12" s="1"/>
  <c r="AF72" i="12"/>
  <c r="AE72" i="12"/>
  <c r="AD72" i="12"/>
  <c r="Z72" i="12"/>
  <c r="J73" i="14"/>
  <c r="G72" i="12"/>
  <c r="AB72" i="12"/>
  <c r="Y72" i="12"/>
  <c r="AG72" i="12"/>
  <c r="AH72" i="12"/>
  <c r="AA72" i="12"/>
  <c r="N73" i="14"/>
  <c r="S73" i="14"/>
  <c r="AC73" i="14"/>
  <c r="AB73" i="14"/>
  <c r="Q73" i="14" a="1"/>
  <c r="Q73" i="14" s="1"/>
  <c r="AA73" i="14"/>
  <c r="AH73" i="14"/>
  <c r="V73" i="14"/>
  <c r="W73" i="14"/>
  <c r="H73" i="14"/>
  <c r="A74" i="14"/>
  <c r="AG73" i="14"/>
  <c r="AE73" i="14"/>
  <c r="AF73" i="14"/>
  <c r="Z73" i="14"/>
  <c r="AD73" i="14"/>
  <c r="Y73" i="14"/>
  <c r="U73" i="14"/>
  <c r="X73" i="14"/>
  <c r="I73" i="14"/>
  <c r="P73" i="14" a="1"/>
  <c r="P73" i="14" s="1"/>
  <c r="R73" i="14" s="1"/>
  <c r="I72" i="12"/>
  <c r="G73" i="14"/>
  <c r="C73" i="14"/>
  <c r="F73" i="12"/>
  <c r="L72" i="12"/>
  <c r="D73" i="12"/>
  <c r="E73" i="12"/>
  <c r="B73" i="12"/>
  <c r="Q73" i="12" s="1" a="1"/>
  <c r="Q73" i="12" s="1"/>
  <c r="O73" i="14" l="1"/>
  <c r="O72" i="12"/>
  <c r="M73" i="12"/>
  <c r="T73" i="12" s="1"/>
  <c r="L73" i="14"/>
  <c r="I73" i="12"/>
  <c r="K72" i="12"/>
  <c r="K73" i="14"/>
  <c r="F74" i="14"/>
  <c r="E74" i="14"/>
  <c r="B74" i="14"/>
  <c r="C74" i="14" s="1"/>
  <c r="D74" i="14"/>
  <c r="P73" i="12" a="1"/>
  <c r="P73" i="12" s="1"/>
  <c r="R73" i="12" s="1"/>
  <c r="Z73" i="12"/>
  <c r="AG73" i="12"/>
  <c r="AA73" i="12"/>
  <c r="AH73" i="12"/>
  <c r="N73" i="12"/>
  <c r="W73" i="12"/>
  <c r="X73" i="12"/>
  <c r="Y73" i="12"/>
  <c r="U73" i="12"/>
  <c r="AB73" i="12"/>
  <c r="AC73" i="12"/>
  <c r="AD73" i="12"/>
  <c r="AF73" i="12"/>
  <c r="AE73" i="12"/>
  <c r="V73" i="12"/>
  <c r="C73" i="12"/>
  <c r="J73" i="12"/>
  <c r="H73" i="12"/>
  <c r="G73" i="12"/>
  <c r="S73" i="12"/>
  <c r="A74" i="12"/>
  <c r="J74" i="14" l="1"/>
  <c r="O73" i="12"/>
  <c r="K73" i="12"/>
  <c r="M74" i="14"/>
  <c r="T74" i="14" s="1"/>
  <c r="I74" i="14"/>
  <c r="N74" i="14"/>
  <c r="O74" i="14" s="1"/>
  <c r="S74" i="14"/>
  <c r="Q74" i="14" a="1"/>
  <c r="Q74" i="14" s="1"/>
  <c r="H74" i="14"/>
  <c r="L74" i="14" s="1"/>
  <c r="A75" i="14"/>
  <c r="P74" i="14" a="1"/>
  <c r="P74" i="14" s="1"/>
  <c r="R74" i="14" s="1"/>
  <c r="U74" i="14" s="1"/>
  <c r="G74" i="14"/>
  <c r="F74" i="12"/>
  <c r="L73" i="12"/>
  <c r="D74" i="12"/>
  <c r="E74" i="12"/>
  <c r="B74" i="12"/>
  <c r="Q74" i="12" s="1" a="1"/>
  <c r="Q74" i="12" s="1"/>
  <c r="W74" i="14" l="1"/>
  <c r="Y74" i="14" s="1"/>
  <c r="I74" i="12"/>
  <c r="AD74" i="14"/>
  <c r="AF74" i="14" s="1"/>
  <c r="M74" i="12"/>
  <c r="T74" i="12" s="1"/>
  <c r="K74" i="14"/>
  <c r="AB74" i="14" s="1"/>
  <c r="AE74" i="14" s="1"/>
  <c r="X74" i="14"/>
  <c r="V74" i="14"/>
  <c r="AA74" i="14" s="1"/>
  <c r="F75" i="14"/>
  <c r="E75" i="14"/>
  <c r="J75" i="14" s="1"/>
  <c r="B75" i="14"/>
  <c r="D75" i="14"/>
  <c r="P74" i="12" a="1"/>
  <c r="P74" i="12" s="1"/>
  <c r="R74" i="12" s="1"/>
  <c r="U74" i="12" s="1"/>
  <c r="C74" i="12"/>
  <c r="N74" i="12"/>
  <c r="J74" i="12"/>
  <c r="H74" i="12"/>
  <c r="G74" i="12"/>
  <c r="S74" i="12"/>
  <c r="A75" i="12"/>
  <c r="Z74" i="14" l="1"/>
  <c r="O74" i="12"/>
  <c r="AG74" i="14"/>
  <c r="K74" i="12"/>
  <c r="M75" i="14"/>
  <c r="T75" i="14" s="1"/>
  <c r="I75" i="14"/>
  <c r="AC74" i="14"/>
  <c r="AH74" i="14" s="1"/>
  <c r="Q75" i="14" a="1"/>
  <c r="Q75" i="14" s="1"/>
  <c r="H75" i="14"/>
  <c r="L75" i="14" s="1"/>
  <c r="A76" i="14"/>
  <c r="N75" i="14"/>
  <c r="S75" i="14"/>
  <c r="P75" i="14" a="1"/>
  <c r="P75" i="14" s="1"/>
  <c r="R75" i="14" s="1"/>
  <c r="U75" i="14" s="1"/>
  <c r="G75" i="14"/>
  <c r="C75" i="14"/>
  <c r="W74" i="12"/>
  <c r="Y74" i="12" s="1"/>
  <c r="V74" i="12"/>
  <c r="AA74" i="12" s="1"/>
  <c r="X74" i="12"/>
  <c r="F75" i="12"/>
  <c r="L74" i="12"/>
  <c r="AD74" i="12" s="1"/>
  <c r="AF74" i="12" s="1"/>
  <c r="D75" i="12"/>
  <c r="E75" i="12"/>
  <c r="B75" i="12"/>
  <c r="Q75" i="12" s="1" a="1"/>
  <c r="Q75" i="12" s="1"/>
  <c r="I75" i="12" l="1"/>
  <c r="AB74" i="12"/>
  <c r="AC74" i="12" s="1"/>
  <c r="AH74" i="12" s="1"/>
  <c r="O75" i="14"/>
  <c r="AD75" i="14"/>
  <c r="AF75" i="14" s="1"/>
  <c r="M75" i="12"/>
  <c r="T75" i="12" s="1"/>
  <c r="K75" i="14"/>
  <c r="W75" i="14"/>
  <c r="Y75" i="14" s="1"/>
  <c r="X75" i="14"/>
  <c r="V75" i="14"/>
  <c r="AA75" i="14" s="1"/>
  <c r="F76" i="14"/>
  <c r="E76" i="14"/>
  <c r="J76" i="14" s="1"/>
  <c r="D76" i="14"/>
  <c r="B76" i="14"/>
  <c r="C76" i="14" s="1"/>
  <c r="P75" i="12" a="1"/>
  <c r="P75" i="12" s="1"/>
  <c r="R75" i="12" s="1"/>
  <c r="U75" i="12" s="1"/>
  <c r="Z74" i="12"/>
  <c r="C75" i="12"/>
  <c r="N75" i="12"/>
  <c r="O75" i="12" s="1"/>
  <c r="J75" i="12"/>
  <c r="G75" i="12"/>
  <c r="H75" i="12"/>
  <c r="S75" i="12"/>
  <c r="A76" i="12"/>
  <c r="K75" i="12" l="1"/>
  <c r="AE74" i="12"/>
  <c r="AG74" i="12" s="1"/>
  <c r="AB75" i="14"/>
  <c r="AE75" i="14" s="1"/>
  <c r="AG75" i="14" s="1"/>
  <c r="M76" i="14"/>
  <c r="T76" i="14" s="1"/>
  <c r="Z75" i="14"/>
  <c r="I76" i="14"/>
  <c r="Q76" i="14" a="1"/>
  <c r="Q76" i="14" s="1"/>
  <c r="H76" i="14"/>
  <c r="L76" i="14" s="1"/>
  <c r="A77" i="14"/>
  <c r="N76" i="14"/>
  <c r="P76" i="14" a="1"/>
  <c r="P76" i="14" s="1"/>
  <c r="R76" i="14" s="1"/>
  <c r="U76" i="14" s="1"/>
  <c r="S76" i="14"/>
  <c r="G76" i="14"/>
  <c r="W75" i="12"/>
  <c r="Y75" i="12" s="1"/>
  <c r="AB75" i="12"/>
  <c r="AC75" i="12" s="1"/>
  <c r="AH75" i="12" s="1"/>
  <c r="V75" i="12"/>
  <c r="AA75" i="12" s="1"/>
  <c r="X75" i="12"/>
  <c r="F76" i="12"/>
  <c r="L75" i="12"/>
  <c r="AD75" i="12" s="1"/>
  <c r="AF75" i="12" s="1"/>
  <c r="D76" i="12"/>
  <c r="E76" i="12"/>
  <c r="B76" i="12"/>
  <c r="Q76" i="12" s="1" a="1"/>
  <c r="Q76" i="12" s="1"/>
  <c r="I76" i="12" l="1"/>
  <c r="AC75" i="14"/>
  <c r="AH75" i="14" s="1"/>
  <c r="O76" i="14"/>
  <c r="M76" i="12"/>
  <c r="T76" i="12" s="1"/>
  <c r="AD76" i="14"/>
  <c r="AF76" i="14" s="1"/>
  <c r="W76" i="14"/>
  <c r="Y76" i="14" s="1"/>
  <c r="X76" i="14"/>
  <c r="V76" i="14"/>
  <c r="AA76" i="14" s="1"/>
  <c r="F77" i="14"/>
  <c r="E77" i="14"/>
  <c r="B77" i="14"/>
  <c r="C77" i="14" s="1"/>
  <c r="D77" i="14"/>
  <c r="K76" i="14"/>
  <c r="P76" i="12" a="1"/>
  <c r="P76" i="12" s="1"/>
  <c r="R76" i="12" s="1"/>
  <c r="U76" i="12" s="1"/>
  <c r="Z75" i="12"/>
  <c r="AE75" i="12"/>
  <c r="AG75" i="12" s="1"/>
  <c r="N76" i="12"/>
  <c r="C76" i="12"/>
  <c r="J76" i="12"/>
  <c r="H76" i="12"/>
  <c r="G76" i="12"/>
  <c r="S76" i="12"/>
  <c r="A77" i="12"/>
  <c r="AB76" i="14" l="1"/>
  <c r="AE76" i="14" s="1"/>
  <c r="AG76" i="14" s="1"/>
  <c r="O76" i="12"/>
  <c r="M77" i="14"/>
  <c r="T77" i="14" s="1"/>
  <c r="J77" i="14"/>
  <c r="I77" i="14"/>
  <c r="Z76" i="14"/>
  <c r="N77" i="14"/>
  <c r="P77" i="14" a="1"/>
  <c r="P77" i="14" s="1"/>
  <c r="R77" i="14" s="1"/>
  <c r="U77" i="14" s="1"/>
  <c r="G77" i="14"/>
  <c r="S77" i="14"/>
  <c r="Q77" i="14" a="1"/>
  <c r="Q77" i="14" s="1"/>
  <c r="H77" i="14"/>
  <c r="A78" i="14"/>
  <c r="W76" i="12"/>
  <c r="Y76" i="12" s="1"/>
  <c r="V76" i="12"/>
  <c r="AA76" i="12" s="1"/>
  <c r="X76" i="12"/>
  <c r="F77" i="12"/>
  <c r="D77" i="12"/>
  <c r="E77" i="12"/>
  <c r="K76" i="12"/>
  <c r="AB76" i="12" s="1"/>
  <c r="L76" i="12"/>
  <c r="AD76" i="12" s="1"/>
  <c r="AF76" i="12" s="1"/>
  <c r="B77" i="12"/>
  <c r="Q77" i="12" s="1" a="1"/>
  <c r="Q77" i="12" s="1"/>
  <c r="AC76" i="14" l="1"/>
  <c r="AH76" i="14" s="1"/>
  <c r="O77" i="14"/>
  <c r="M77" i="12"/>
  <c r="T77" i="12" s="1"/>
  <c r="I77" i="12"/>
  <c r="L77" i="14"/>
  <c r="AD77" i="14" s="1"/>
  <c r="AF77" i="14" s="1"/>
  <c r="K77" i="14"/>
  <c r="W77" i="14"/>
  <c r="Y77" i="14" s="1"/>
  <c r="V77" i="14"/>
  <c r="AA77" i="14" s="1"/>
  <c r="X77" i="14"/>
  <c r="F78" i="14"/>
  <c r="E78" i="14"/>
  <c r="D78" i="14"/>
  <c r="B78" i="14"/>
  <c r="G78" i="14" s="1"/>
  <c r="P77" i="12" a="1"/>
  <c r="P77" i="12" s="1"/>
  <c r="R77" i="12" s="1"/>
  <c r="U77" i="12" s="1"/>
  <c r="Z76" i="12"/>
  <c r="AE76" i="12"/>
  <c r="AG76" i="12" s="1"/>
  <c r="AC76" i="12"/>
  <c r="AH76" i="12" s="1"/>
  <c r="C77" i="12"/>
  <c r="N77" i="12"/>
  <c r="O77" i="12" s="1"/>
  <c r="J77" i="12"/>
  <c r="H77" i="12"/>
  <c r="G77" i="12"/>
  <c r="S77" i="12"/>
  <c r="W77" i="12" s="1"/>
  <c r="Y77" i="12" s="1"/>
  <c r="A78" i="12"/>
  <c r="AB77" i="14" l="1"/>
  <c r="AC77" i="14" s="1"/>
  <c r="AH77" i="14" s="1"/>
  <c r="M78" i="14"/>
  <c r="T78" i="14" s="1"/>
  <c r="N78" i="14"/>
  <c r="I78" i="14"/>
  <c r="K78" i="14" s="1"/>
  <c r="P78" i="14" a="1"/>
  <c r="P78" i="14" s="1"/>
  <c r="R78" i="14" s="1"/>
  <c r="U78" i="14" s="1"/>
  <c r="Z77" i="14"/>
  <c r="J78" i="14"/>
  <c r="S78" i="14"/>
  <c r="Q78" i="14" a="1"/>
  <c r="Q78" i="14" s="1"/>
  <c r="W78" i="14" s="1"/>
  <c r="Y78" i="14" s="1"/>
  <c r="H78" i="14"/>
  <c r="A79" i="14"/>
  <c r="C78" i="14"/>
  <c r="V77" i="12"/>
  <c r="AA77" i="12" s="1"/>
  <c r="X77" i="12"/>
  <c r="Z77" i="12" s="1"/>
  <c r="L77" i="12"/>
  <c r="AD77" i="12" s="1"/>
  <c r="AF77" i="12" s="1"/>
  <c r="F78" i="12"/>
  <c r="D78" i="12"/>
  <c r="E78" i="12"/>
  <c r="K77" i="12"/>
  <c r="AB77" i="12" s="1"/>
  <c r="B78" i="12"/>
  <c r="Q78" i="12" s="1" a="1"/>
  <c r="Q78" i="12" s="1"/>
  <c r="AE77" i="14" l="1"/>
  <c r="AG77" i="14" s="1"/>
  <c r="O78" i="14"/>
  <c r="AB78" i="14" s="1"/>
  <c r="AC78" i="14" s="1"/>
  <c r="AH78" i="14" s="1"/>
  <c r="M78" i="12"/>
  <c r="T78" i="12" s="1"/>
  <c r="I78" i="12"/>
  <c r="L78" i="14"/>
  <c r="AD78" i="14" s="1"/>
  <c r="AF78" i="14" s="1"/>
  <c r="X78" i="14"/>
  <c r="Z78" i="14" s="1"/>
  <c r="V78" i="14"/>
  <c r="AA78" i="14" s="1"/>
  <c r="F79" i="14"/>
  <c r="E79" i="14"/>
  <c r="D79" i="14"/>
  <c r="B79" i="14"/>
  <c r="G79" i="14" s="1"/>
  <c r="P78" i="12" a="1"/>
  <c r="P78" i="12" s="1"/>
  <c r="R78" i="12" s="1"/>
  <c r="U78" i="12" s="1"/>
  <c r="AC77" i="12"/>
  <c r="AH77" i="12" s="1"/>
  <c r="AE77" i="12"/>
  <c r="AG77" i="12" s="1"/>
  <c r="C78" i="12"/>
  <c r="N78" i="12"/>
  <c r="J78" i="12"/>
  <c r="H78" i="12"/>
  <c r="G78" i="12"/>
  <c r="S78" i="12"/>
  <c r="W78" i="12" s="1"/>
  <c r="Y78" i="12" s="1"/>
  <c r="A79" i="12"/>
  <c r="O78" i="12" l="1"/>
  <c r="M79" i="14"/>
  <c r="T79" i="14" s="1"/>
  <c r="K78" i="12"/>
  <c r="I79" i="14"/>
  <c r="K79" i="14" s="1"/>
  <c r="AE78" i="14"/>
  <c r="AG78" i="14" s="1"/>
  <c r="N79" i="14"/>
  <c r="O79" i="14" s="1"/>
  <c r="C79" i="14"/>
  <c r="J79" i="14"/>
  <c r="S79" i="14"/>
  <c r="P79" i="14" a="1"/>
  <c r="P79" i="14" s="1"/>
  <c r="R79" i="14" s="1"/>
  <c r="U79" i="14" s="1"/>
  <c r="Q79" i="14" a="1"/>
  <c r="Q79" i="14" s="1"/>
  <c r="W79" i="14" s="1"/>
  <c r="Y79" i="14" s="1"/>
  <c r="H79" i="14"/>
  <c r="A80" i="14"/>
  <c r="V78" i="12"/>
  <c r="AA78" i="12" s="1"/>
  <c r="X78" i="12"/>
  <c r="Z78" i="12" s="1"/>
  <c r="F79" i="12"/>
  <c r="L78" i="12"/>
  <c r="AD78" i="12" s="1"/>
  <c r="AF78" i="12" s="1"/>
  <c r="D79" i="12"/>
  <c r="E79" i="12"/>
  <c r="I79" i="12" s="1"/>
  <c r="B79" i="12"/>
  <c r="Q79" i="12" s="1" a="1"/>
  <c r="Q79" i="12" s="1"/>
  <c r="AB78" i="12" l="1"/>
  <c r="AC78" i="12" s="1"/>
  <c r="AH78" i="12" s="1"/>
  <c r="M79" i="12"/>
  <c r="T79" i="12" s="1"/>
  <c r="AB79" i="14"/>
  <c r="AE79" i="14" s="1"/>
  <c r="X79" i="14"/>
  <c r="Z79" i="14" s="1"/>
  <c r="V79" i="14"/>
  <c r="AA79" i="14" s="1"/>
  <c r="F80" i="14"/>
  <c r="E80" i="14"/>
  <c r="B80" i="14"/>
  <c r="G80" i="14" s="1"/>
  <c r="D80" i="14"/>
  <c r="L79" i="14"/>
  <c r="AD79" i="14" s="1"/>
  <c r="AF79" i="14" s="1"/>
  <c r="P79" i="12" a="1"/>
  <c r="P79" i="12" s="1"/>
  <c r="R79" i="12" s="1"/>
  <c r="U79" i="12" s="1"/>
  <c r="N79" i="12"/>
  <c r="C79" i="12"/>
  <c r="J79" i="12"/>
  <c r="H79" i="12"/>
  <c r="G79" i="12"/>
  <c r="K79" i="12" s="1"/>
  <c r="S79" i="12"/>
  <c r="A80" i="12"/>
  <c r="AG79" i="14" l="1"/>
  <c r="I80" i="14"/>
  <c r="K80" i="14" s="1"/>
  <c r="AE78" i="12"/>
  <c r="AG78" i="12" s="1"/>
  <c r="M80" i="14"/>
  <c r="T80" i="14" s="1"/>
  <c r="O79" i="12"/>
  <c r="AB79" i="12" s="1"/>
  <c r="AC79" i="12" s="1"/>
  <c r="AH79" i="12" s="1"/>
  <c r="AC79" i="14"/>
  <c r="AH79" i="14" s="1"/>
  <c r="J80" i="14"/>
  <c r="N80" i="14"/>
  <c r="P80" i="14" a="1"/>
  <c r="P80" i="14" s="1"/>
  <c r="R80" i="14" s="1"/>
  <c r="U80" i="14" s="1"/>
  <c r="S80" i="14"/>
  <c r="Q80" i="14" a="1"/>
  <c r="Q80" i="14" s="1"/>
  <c r="H80" i="14"/>
  <c r="A81" i="14"/>
  <c r="C80" i="14"/>
  <c r="W79" i="12"/>
  <c r="Y79" i="12" s="1"/>
  <c r="V79" i="12"/>
  <c r="AA79" i="12" s="1"/>
  <c r="X79" i="12"/>
  <c r="F80" i="12"/>
  <c r="L79" i="12"/>
  <c r="AD79" i="12" s="1"/>
  <c r="AF79" i="12" s="1"/>
  <c r="D80" i="12"/>
  <c r="E80" i="12"/>
  <c r="I80" i="12" s="1"/>
  <c r="B80" i="12"/>
  <c r="Q80" i="12" s="1" a="1"/>
  <c r="Q80" i="12" s="1"/>
  <c r="O80" i="14" l="1"/>
  <c r="AB80" i="14" s="1"/>
  <c r="AE80" i="14" s="1"/>
  <c r="M80" i="12"/>
  <c r="T80" i="12" s="1"/>
  <c r="W80" i="14"/>
  <c r="Y80" i="14" s="1"/>
  <c r="L80" i="14"/>
  <c r="AD80" i="14" s="1"/>
  <c r="AF80" i="14" s="1"/>
  <c r="X80" i="14"/>
  <c r="V80" i="14"/>
  <c r="AA80" i="14" s="1"/>
  <c r="F81" i="14"/>
  <c r="E81" i="14"/>
  <c r="B81" i="14"/>
  <c r="C81" i="14" s="1"/>
  <c r="D81" i="14"/>
  <c r="P80" i="12" a="1"/>
  <c r="P80" i="12" s="1"/>
  <c r="R80" i="12" s="1"/>
  <c r="U80" i="12" s="1"/>
  <c r="Z79" i="12"/>
  <c r="AE79" i="12"/>
  <c r="AG79" i="12" s="1"/>
  <c r="C80" i="12"/>
  <c r="N80" i="12"/>
  <c r="J80" i="12"/>
  <c r="G80" i="12"/>
  <c r="K80" i="12" s="1"/>
  <c r="H80" i="12"/>
  <c r="S80" i="12"/>
  <c r="A81" i="12"/>
  <c r="AC80" i="14" l="1"/>
  <c r="AH80" i="14" s="1"/>
  <c r="AG80" i="14"/>
  <c r="J81" i="14"/>
  <c r="O80" i="12"/>
  <c r="AB80" i="12" s="1"/>
  <c r="AC80" i="12" s="1"/>
  <c r="AH80" i="12" s="1"/>
  <c r="M81" i="14"/>
  <c r="T81" i="14" s="1"/>
  <c r="Z80" i="14"/>
  <c r="I81" i="14"/>
  <c r="Q81" i="14" a="1"/>
  <c r="Q81" i="14" s="1"/>
  <c r="H81" i="14"/>
  <c r="A82" i="14"/>
  <c r="N81" i="14"/>
  <c r="P81" i="14" a="1"/>
  <c r="P81" i="14" s="1"/>
  <c r="R81" i="14" s="1"/>
  <c r="U81" i="14" s="1"/>
  <c r="S81" i="14"/>
  <c r="G81" i="14"/>
  <c r="W80" i="12"/>
  <c r="Y80" i="12" s="1"/>
  <c r="X80" i="12"/>
  <c r="V80" i="12"/>
  <c r="AA80" i="12" s="1"/>
  <c r="F81" i="12"/>
  <c r="L80" i="12"/>
  <c r="AD80" i="12" s="1"/>
  <c r="AF80" i="12" s="1"/>
  <c r="D81" i="12"/>
  <c r="E81" i="12"/>
  <c r="B81" i="12"/>
  <c r="Q81" i="12" s="1" a="1"/>
  <c r="Q81" i="12" s="1"/>
  <c r="L81" i="14" l="1"/>
  <c r="AD81" i="14" s="1"/>
  <c r="AF81" i="14" s="1"/>
  <c r="K81" i="14"/>
  <c r="O81" i="14"/>
  <c r="M81" i="12"/>
  <c r="T81" i="12" s="1"/>
  <c r="I81" i="12"/>
  <c r="AE80" i="12"/>
  <c r="AG80" i="12" s="1"/>
  <c r="W81" i="14"/>
  <c r="Y81" i="14" s="1"/>
  <c r="X81" i="14"/>
  <c r="V81" i="14"/>
  <c r="AA81" i="14" s="1"/>
  <c r="F82" i="14"/>
  <c r="E82" i="14"/>
  <c r="D82" i="14"/>
  <c r="B82" i="14"/>
  <c r="P82" i="14" s="1" a="1"/>
  <c r="P82" i="14" s="1"/>
  <c r="P81" i="12" a="1"/>
  <c r="P81" i="12" s="1"/>
  <c r="R81" i="12" s="1"/>
  <c r="U81" i="12" s="1"/>
  <c r="Z80" i="12"/>
  <c r="N81" i="12"/>
  <c r="O81" i="12" s="1"/>
  <c r="C81" i="12"/>
  <c r="J81" i="12"/>
  <c r="H81" i="12"/>
  <c r="G81" i="12"/>
  <c r="S81" i="12"/>
  <c r="A82" i="12"/>
  <c r="AB81" i="14" l="1"/>
  <c r="AE81" i="14" s="1"/>
  <c r="AG81" i="14" s="1"/>
  <c r="K81" i="12"/>
  <c r="AB81" i="12" s="1"/>
  <c r="AC81" i="12" s="1"/>
  <c r="AH81" i="12" s="1"/>
  <c r="M82" i="14"/>
  <c r="T82" i="14" s="1"/>
  <c r="I82" i="14"/>
  <c r="Z81" i="14"/>
  <c r="J82" i="14"/>
  <c r="N82" i="14"/>
  <c r="Q82" i="14" a="1"/>
  <c r="Q82" i="14" s="1"/>
  <c r="H82" i="14"/>
  <c r="A83" i="14"/>
  <c r="C82" i="14"/>
  <c r="G82" i="14"/>
  <c r="AC81" i="14"/>
  <c r="AH81" i="14" s="1"/>
  <c r="R82" i="14"/>
  <c r="U82" i="14" s="1"/>
  <c r="S82" i="14"/>
  <c r="W81" i="12"/>
  <c r="Y81" i="12" s="1"/>
  <c r="V81" i="12"/>
  <c r="AA81" i="12" s="1"/>
  <c r="X81" i="12"/>
  <c r="F82" i="12"/>
  <c r="L81" i="12"/>
  <c r="AD81" i="12" s="1"/>
  <c r="AF81" i="12" s="1"/>
  <c r="D82" i="12"/>
  <c r="E82" i="12"/>
  <c r="B82" i="12"/>
  <c r="Q82" i="12" s="1" a="1"/>
  <c r="Q82" i="12" s="1"/>
  <c r="I82" i="12" l="1"/>
  <c r="O82" i="14"/>
  <c r="W82" i="14"/>
  <c r="Y82" i="14" s="1"/>
  <c r="K82" i="14"/>
  <c r="M82" i="12"/>
  <c r="T82" i="12" s="1"/>
  <c r="X82" i="14"/>
  <c r="V82" i="14"/>
  <c r="AA82" i="14" s="1"/>
  <c r="F83" i="14"/>
  <c r="E83" i="14"/>
  <c r="D83" i="14"/>
  <c r="B83" i="14"/>
  <c r="C83" i="14" s="1"/>
  <c r="L82" i="14"/>
  <c r="AD82" i="14" s="1"/>
  <c r="AF82" i="14" s="1"/>
  <c r="P82" i="12" a="1"/>
  <c r="P82" i="12" s="1"/>
  <c r="R82" i="12" s="1"/>
  <c r="U82" i="12" s="1"/>
  <c r="Z81" i="12"/>
  <c r="AE81" i="12"/>
  <c r="AG81" i="12" s="1"/>
  <c r="N82" i="12"/>
  <c r="O82" i="12" s="1"/>
  <c r="C82" i="12"/>
  <c r="J82" i="12"/>
  <c r="H82" i="12"/>
  <c r="G82" i="12"/>
  <c r="S82" i="12"/>
  <c r="W82" i="12" s="1"/>
  <c r="Y82" i="12" s="1"/>
  <c r="A83" i="12"/>
  <c r="AB82" i="14" l="1"/>
  <c r="AC82" i="14" s="1"/>
  <c r="AH82" i="14" s="1"/>
  <c r="Z82" i="14"/>
  <c r="M83" i="14"/>
  <c r="T83" i="14" s="1"/>
  <c r="I83" i="14"/>
  <c r="P83" i="14" a="1"/>
  <c r="P83" i="14" s="1"/>
  <c r="R83" i="14" s="1"/>
  <c r="U83" i="14" s="1"/>
  <c r="G83" i="14"/>
  <c r="J83" i="14"/>
  <c r="N83" i="14"/>
  <c r="AE82" i="14"/>
  <c r="AG82" i="14" s="1"/>
  <c r="Q83" i="14" a="1"/>
  <c r="Q83" i="14" s="1"/>
  <c r="H83" i="14"/>
  <c r="A84" i="14"/>
  <c r="S83" i="14"/>
  <c r="V82" i="12"/>
  <c r="AA82" i="12" s="1"/>
  <c r="X82" i="12"/>
  <c r="Z82" i="12" s="1"/>
  <c r="F83" i="12"/>
  <c r="L82" i="12"/>
  <c r="AD82" i="12" s="1"/>
  <c r="AF82" i="12" s="1"/>
  <c r="D83" i="12"/>
  <c r="E83" i="12"/>
  <c r="I83" i="12" s="1"/>
  <c r="K82" i="12"/>
  <c r="AB82" i="12" s="1"/>
  <c r="B83" i="12"/>
  <c r="Q83" i="12" s="1" a="1"/>
  <c r="Q83" i="12" s="1"/>
  <c r="O83" i="14" l="1"/>
  <c r="N83" i="12"/>
  <c r="M83" i="12"/>
  <c r="T83" i="12" s="1"/>
  <c r="K83" i="14"/>
  <c r="L83" i="14"/>
  <c r="AD83" i="14" s="1"/>
  <c r="AF83" i="14" s="1"/>
  <c r="W83" i="14"/>
  <c r="Y83" i="14" s="1"/>
  <c r="X83" i="14"/>
  <c r="V83" i="14"/>
  <c r="AA83" i="14" s="1"/>
  <c r="F84" i="14"/>
  <c r="E84" i="14"/>
  <c r="D84" i="14"/>
  <c r="B84" i="14"/>
  <c r="P84" i="14" s="1" a="1"/>
  <c r="P84" i="14" s="1"/>
  <c r="P83" i="12" a="1"/>
  <c r="P83" i="12" s="1"/>
  <c r="R83" i="12" s="1"/>
  <c r="U83" i="12" s="1"/>
  <c r="AC82" i="12"/>
  <c r="AH82" i="12" s="1"/>
  <c r="AE82" i="12"/>
  <c r="AG82" i="12" s="1"/>
  <c r="C83" i="12"/>
  <c r="J83" i="12"/>
  <c r="H83" i="12"/>
  <c r="G83" i="12"/>
  <c r="K83" i="12" s="1"/>
  <c r="S83" i="12"/>
  <c r="W83" i="12" s="1"/>
  <c r="Y83" i="12" s="1"/>
  <c r="A84" i="12"/>
  <c r="AB83" i="14" l="1"/>
  <c r="AC83" i="14" s="1"/>
  <c r="AH83" i="14" s="1"/>
  <c r="M84" i="14"/>
  <c r="T84" i="14" s="1"/>
  <c r="J84" i="14"/>
  <c r="Z83" i="14"/>
  <c r="N84" i="14"/>
  <c r="O84" i="14" s="1"/>
  <c r="I84" i="14"/>
  <c r="R84" i="14"/>
  <c r="U84" i="14" s="1"/>
  <c r="X84" i="14" s="1"/>
  <c r="S84" i="14"/>
  <c r="Q84" i="14" a="1"/>
  <c r="Q84" i="14" s="1"/>
  <c r="W84" i="14" s="1"/>
  <c r="Y84" i="14" s="1"/>
  <c r="H84" i="14"/>
  <c r="A85" i="14"/>
  <c r="G84" i="14"/>
  <c r="C84" i="14"/>
  <c r="X83" i="12"/>
  <c r="Z83" i="12" s="1"/>
  <c r="V83" i="12"/>
  <c r="AA83" i="12" s="1"/>
  <c r="O83" i="12"/>
  <c r="AB83" i="12" s="1"/>
  <c r="F84" i="12"/>
  <c r="L83" i="12"/>
  <c r="AD83" i="12" s="1"/>
  <c r="AF83" i="12" s="1"/>
  <c r="D84" i="12"/>
  <c r="E84" i="12"/>
  <c r="I84" i="12" s="1"/>
  <c r="B84" i="12"/>
  <c r="Q84" i="12" s="1" a="1"/>
  <c r="Q84" i="12" s="1"/>
  <c r="AE83" i="14" l="1"/>
  <c r="AG83" i="14" s="1"/>
  <c r="L84" i="14"/>
  <c r="AD84" i="14" s="1"/>
  <c r="AF84" i="14" s="1"/>
  <c r="N84" i="12"/>
  <c r="M84" i="12"/>
  <c r="Z84" i="14"/>
  <c r="V84" i="14"/>
  <c r="AA84" i="14" s="1"/>
  <c r="K84" i="14"/>
  <c r="AB84" i="14" s="1"/>
  <c r="F85" i="14"/>
  <c r="N85" i="14" s="1"/>
  <c r="E85" i="14"/>
  <c r="D85" i="14"/>
  <c r="B85" i="14"/>
  <c r="C85" i="14" s="1"/>
  <c r="P84" i="12" a="1"/>
  <c r="P84" i="12" s="1"/>
  <c r="R84" i="12" s="1"/>
  <c r="U84" i="12" s="1"/>
  <c r="AC83" i="12"/>
  <c r="AH83" i="12" s="1"/>
  <c r="AE83" i="12"/>
  <c r="AG83" i="12" s="1"/>
  <c r="C84" i="12"/>
  <c r="T84" i="12"/>
  <c r="J84" i="12"/>
  <c r="H84" i="12"/>
  <c r="G84" i="12"/>
  <c r="S84" i="12"/>
  <c r="W84" i="12" s="1"/>
  <c r="Y84" i="12" s="1"/>
  <c r="A85" i="12"/>
  <c r="J85" i="14" l="1"/>
  <c r="M85" i="14"/>
  <c r="T85" i="14" s="1"/>
  <c r="I85" i="14"/>
  <c r="P85" i="14" a="1"/>
  <c r="P85" i="14" s="1"/>
  <c r="R85" i="14" s="1"/>
  <c r="U85" i="14" s="1"/>
  <c r="V85" i="14" s="1"/>
  <c r="AA85" i="14" s="1"/>
  <c r="G85" i="14"/>
  <c r="S85" i="14"/>
  <c r="AE84" i="14"/>
  <c r="AG84" i="14" s="1"/>
  <c r="AC84" i="14"/>
  <c r="AH84" i="14" s="1"/>
  <c r="Q85" i="14" a="1"/>
  <c r="Q85" i="14" s="1"/>
  <c r="W85" i="14" s="1"/>
  <c r="Y85" i="14" s="1"/>
  <c r="H85" i="14"/>
  <c r="L85" i="14" s="1"/>
  <c r="A86" i="14"/>
  <c r="V84" i="12"/>
  <c r="AA84" i="12" s="1"/>
  <c r="X84" i="12"/>
  <c r="Z84" i="12" s="1"/>
  <c r="O84" i="12"/>
  <c r="F85" i="12"/>
  <c r="L84" i="12"/>
  <c r="AD84" i="12" s="1"/>
  <c r="AF84" i="12" s="1"/>
  <c r="D85" i="12"/>
  <c r="E85" i="12"/>
  <c r="K84" i="12"/>
  <c r="B85" i="12"/>
  <c r="Q85" i="12" s="1" a="1"/>
  <c r="Q85" i="12" s="1"/>
  <c r="I85" i="12" l="1"/>
  <c r="AD85" i="14"/>
  <c r="AF85" i="14" s="1"/>
  <c r="N85" i="12"/>
  <c r="M85" i="12"/>
  <c r="T85" i="12" s="1"/>
  <c r="O85" i="14"/>
  <c r="K85" i="14"/>
  <c r="X85" i="14"/>
  <c r="Z85" i="14" s="1"/>
  <c r="F86" i="14"/>
  <c r="N86" i="14" s="1"/>
  <c r="E86" i="14"/>
  <c r="J86" i="14" s="1"/>
  <c r="D86" i="14"/>
  <c r="B86" i="14"/>
  <c r="P86" i="14" s="1" a="1"/>
  <c r="P86" i="14" s="1"/>
  <c r="P85" i="12" a="1"/>
  <c r="P85" i="12" s="1"/>
  <c r="R85" i="12" s="1"/>
  <c r="U85" i="12" s="1"/>
  <c r="C85" i="12"/>
  <c r="AB84" i="12"/>
  <c r="J85" i="12"/>
  <c r="G85" i="12"/>
  <c r="K85" i="12" s="1"/>
  <c r="H85" i="12"/>
  <c r="S85" i="12"/>
  <c r="W85" i="12" s="1"/>
  <c r="Y85" i="12" s="1"/>
  <c r="A86" i="12"/>
  <c r="AB85" i="14" l="1"/>
  <c r="AC85" i="14" s="1"/>
  <c r="AH85" i="14" s="1"/>
  <c r="M86" i="14"/>
  <c r="T86" i="14" s="1"/>
  <c r="I86" i="14"/>
  <c r="Q86" i="14" a="1"/>
  <c r="Q86" i="14" s="1"/>
  <c r="H86" i="14"/>
  <c r="L86" i="14" s="1"/>
  <c r="A87" i="14"/>
  <c r="R86" i="14"/>
  <c r="U86" i="14" s="1"/>
  <c r="S86" i="14"/>
  <c r="G86" i="14"/>
  <c r="C86" i="14"/>
  <c r="V85" i="12"/>
  <c r="AA85" i="12" s="1"/>
  <c r="X85" i="12"/>
  <c r="Z85" i="12" s="1"/>
  <c r="AC84" i="12"/>
  <c r="AH84" i="12" s="1"/>
  <c r="AE84" i="12"/>
  <c r="AG84" i="12" s="1"/>
  <c r="O85" i="12"/>
  <c r="AB85" i="12" s="1"/>
  <c r="AC85" i="12" s="1"/>
  <c r="F86" i="12"/>
  <c r="L85" i="12"/>
  <c r="AD85" i="12" s="1"/>
  <c r="AF85" i="12" s="1"/>
  <c r="D86" i="12"/>
  <c r="E86" i="12"/>
  <c r="I86" i="12" s="1"/>
  <c r="B86" i="12"/>
  <c r="Q86" i="12" s="1" a="1"/>
  <c r="Q86" i="12" s="1"/>
  <c r="O86" i="14" l="1"/>
  <c r="AE85" i="14"/>
  <c r="AG85" i="14" s="1"/>
  <c r="W86" i="14"/>
  <c r="Y86" i="14" s="1"/>
  <c r="AD86" i="14"/>
  <c r="AF86" i="14" s="1"/>
  <c r="M86" i="12"/>
  <c r="T86" i="12" s="1"/>
  <c r="K86" i="14"/>
  <c r="X86" i="14"/>
  <c r="V86" i="14"/>
  <c r="AA86" i="14" s="1"/>
  <c r="F87" i="14"/>
  <c r="E87" i="14"/>
  <c r="D87" i="14"/>
  <c r="B87" i="14"/>
  <c r="P86" i="12" a="1"/>
  <c r="P86" i="12" s="1"/>
  <c r="R86" i="12" s="1"/>
  <c r="U86" i="12" s="1"/>
  <c r="AH85" i="12"/>
  <c r="N86" i="12"/>
  <c r="O86" i="12" s="1"/>
  <c r="AE85" i="12"/>
  <c r="AG85" i="12" s="1"/>
  <c r="C86" i="12"/>
  <c r="J86" i="12"/>
  <c r="H86" i="12"/>
  <c r="G86" i="12"/>
  <c r="S86" i="12"/>
  <c r="W86" i="12" s="1"/>
  <c r="Y86" i="12" s="1"/>
  <c r="A87" i="12"/>
  <c r="AB86" i="14" l="1"/>
  <c r="AC86" i="14" s="1"/>
  <c r="AH86" i="14" s="1"/>
  <c r="Z86" i="14"/>
  <c r="M87" i="14"/>
  <c r="T87" i="14" s="1"/>
  <c r="J87" i="14"/>
  <c r="S87" i="14"/>
  <c r="I87" i="14"/>
  <c r="Q87" i="14" a="1"/>
  <c r="Q87" i="14" s="1"/>
  <c r="H87" i="14"/>
  <c r="A88" i="14"/>
  <c r="G87" i="14"/>
  <c r="C87" i="14"/>
  <c r="N87" i="14"/>
  <c r="O87" i="14" s="1"/>
  <c r="P87" i="14" a="1"/>
  <c r="P87" i="14" s="1"/>
  <c r="R87" i="14" s="1"/>
  <c r="U87" i="14" s="1"/>
  <c r="X86" i="12"/>
  <c r="Z86" i="12" s="1"/>
  <c r="V86" i="12"/>
  <c r="AA86" i="12" s="1"/>
  <c r="F87" i="12"/>
  <c r="L86" i="12"/>
  <c r="AD86" i="12" s="1"/>
  <c r="AF86" i="12" s="1"/>
  <c r="D87" i="12"/>
  <c r="E87" i="12"/>
  <c r="K86" i="12"/>
  <c r="AB86" i="12" s="1"/>
  <c r="B87" i="12"/>
  <c r="Q87" i="12" s="1" a="1"/>
  <c r="Q87" i="12" s="1"/>
  <c r="W87" i="14" l="1"/>
  <c r="Y87" i="14" s="1"/>
  <c r="AE86" i="14"/>
  <c r="AG86" i="14" s="1"/>
  <c r="I87" i="12"/>
  <c r="L87" i="14"/>
  <c r="AD87" i="14" s="1"/>
  <c r="AF87" i="14" s="1"/>
  <c r="M87" i="12"/>
  <c r="T87" i="12" s="1"/>
  <c r="X87" i="14"/>
  <c r="Z87" i="14" s="1"/>
  <c r="V87" i="14"/>
  <c r="AA87" i="14" s="1"/>
  <c r="K87" i="14"/>
  <c r="AB87" i="14" s="1"/>
  <c r="F88" i="14"/>
  <c r="E88" i="14"/>
  <c r="D88" i="14"/>
  <c r="B88" i="14"/>
  <c r="P87" i="12" a="1"/>
  <c r="P87" i="12" s="1"/>
  <c r="R87" i="12" s="1"/>
  <c r="U87" i="12" s="1"/>
  <c r="AC86" i="12"/>
  <c r="AH86" i="12" s="1"/>
  <c r="AE86" i="12"/>
  <c r="AG86" i="12" s="1"/>
  <c r="N87" i="12"/>
  <c r="O87" i="12" s="1"/>
  <c r="C87" i="12"/>
  <c r="J87" i="12"/>
  <c r="H87" i="12"/>
  <c r="G87" i="12"/>
  <c r="S87" i="12"/>
  <c r="A88" i="12"/>
  <c r="K87" i="12" l="1"/>
  <c r="M88" i="14"/>
  <c r="T88" i="14" s="1"/>
  <c r="I88" i="14"/>
  <c r="J88" i="14"/>
  <c r="AC87" i="14"/>
  <c r="AH87" i="14" s="1"/>
  <c r="AE87" i="14"/>
  <c r="AG87" i="14" s="1"/>
  <c r="Q88" i="14" a="1"/>
  <c r="Q88" i="14" s="1"/>
  <c r="A89" i="14"/>
  <c r="H88" i="14"/>
  <c r="G88" i="14"/>
  <c r="S88" i="14"/>
  <c r="C88" i="14"/>
  <c r="N88" i="14"/>
  <c r="O88" i="14" s="1"/>
  <c r="P88" i="14" a="1"/>
  <c r="P88" i="14" s="1"/>
  <c r="R88" i="14" s="1"/>
  <c r="U88" i="14" s="1"/>
  <c r="W87" i="12"/>
  <c r="Y87" i="12" s="1"/>
  <c r="AB87" i="12"/>
  <c r="AE87" i="12" s="1"/>
  <c r="V87" i="12"/>
  <c r="AA87" i="12" s="1"/>
  <c r="X87" i="12"/>
  <c r="F88" i="12"/>
  <c r="L87" i="12"/>
  <c r="AD87" i="12" s="1"/>
  <c r="AF87" i="12" s="1"/>
  <c r="D88" i="12"/>
  <c r="E88" i="12"/>
  <c r="I88" i="12" s="1"/>
  <c r="B88" i="12"/>
  <c r="Q88" i="12" s="1" a="1"/>
  <c r="Q88" i="12" s="1"/>
  <c r="K88" i="14" l="1"/>
  <c r="M88" i="12"/>
  <c r="T88" i="12" s="1"/>
  <c r="L88" i="14"/>
  <c r="AD88" i="14" s="1"/>
  <c r="AF88" i="14" s="1"/>
  <c r="W88" i="14"/>
  <c r="Y88" i="14" s="1"/>
  <c r="AB88" i="14"/>
  <c r="AE88" i="14" s="1"/>
  <c r="AG88" i="14" s="1"/>
  <c r="V88" i="14"/>
  <c r="AA88" i="14" s="1"/>
  <c r="X88" i="14"/>
  <c r="E89" i="14"/>
  <c r="F89" i="14"/>
  <c r="B89" i="14"/>
  <c r="D89" i="14"/>
  <c r="P88" i="12" a="1"/>
  <c r="P88" i="12" s="1"/>
  <c r="R88" i="12" s="1"/>
  <c r="U88" i="12" s="1"/>
  <c r="AG87" i="12"/>
  <c r="AC87" i="12"/>
  <c r="AH87" i="12" s="1"/>
  <c r="Z87" i="12"/>
  <c r="C88" i="12"/>
  <c r="N88" i="12"/>
  <c r="H88" i="12"/>
  <c r="J88" i="12"/>
  <c r="G88" i="12"/>
  <c r="S88" i="12"/>
  <c r="A89" i="12"/>
  <c r="AC88" i="14" l="1"/>
  <c r="AH88" i="14" s="1"/>
  <c r="O88" i="12"/>
  <c r="M89" i="14"/>
  <c r="T89" i="14" s="1"/>
  <c r="I89" i="14"/>
  <c r="Z88" i="14"/>
  <c r="N89" i="14"/>
  <c r="O89" i="14" s="1"/>
  <c r="H89" i="14"/>
  <c r="Q89" i="14" a="1"/>
  <c r="Q89" i="14" s="1"/>
  <c r="A90" i="14"/>
  <c r="J89" i="14"/>
  <c r="P89" i="14" a="1"/>
  <c r="P89" i="14" s="1"/>
  <c r="R89" i="14" s="1"/>
  <c r="U89" i="14" s="1"/>
  <c r="C89" i="14"/>
  <c r="S89" i="14"/>
  <c r="G89" i="14"/>
  <c r="W88" i="12"/>
  <c r="Y88" i="12" s="1"/>
  <c r="V88" i="12"/>
  <c r="AA88" i="12" s="1"/>
  <c r="X88" i="12"/>
  <c r="F89" i="12"/>
  <c r="L88" i="12"/>
  <c r="AD88" i="12" s="1"/>
  <c r="AF88" i="12" s="1"/>
  <c r="D89" i="12"/>
  <c r="E89" i="12"/>
  <c r="K88" i="12"/>
  <c r="AB88" i="12" s="1"/>
  <c r="B89" i="12"/>
  <c r="Q89" i="12" s="1" a="1"/>
  <c r="Q89" i="12" s="1"/>
  <c r="K89" i="14" l="1"/>
  <c r="L89" i="14"/>
  <c r="AD89" i="14" s="1"/>
  <c r="AF89" i="14" s="1"/>
  <c r="M89" i="12"/>
  <c r="T89" i="12" s="1"/>
  <c r="AB89" i="14"/>
  <c r="AE89" i="14" s="1"/>
  <c r="W89" i="14"/>
  <c r="Y89" i="14" s="1"/>
  <c r="X89" i="14"/>
  <c r="V89" i="14"/>
  <c r="AA89" i="14" s="1"/>
  <c r="E90" i="14"/>
  <c r="F90" i="14"/>
  <c r="B90" i="14"/>
  <c r="C90" i="14" s="1"/>
  <c r="D90" i="14"/>
  <c r="N89" i="12"/>
  <c r="O89" i="12" s="1"/>
  <c r="P89" i="12" a="1"/>
  <c r="P89" i="12" s="1"/>
  <c r="R89" i="12" s="1"/>
  <c r="U89" i="12" s="1"/>
  <c r="Z88" i="12"/>
  <c r="I89" i="12"/>
  <c r="AC88" i="12"/>
  <c r="AH88" i="12" s="1"/>
  <c r="AE88" i="12"/>
  <c r="AG88" i="12" s="1"/>
  <c r="C89" i="12"/>
  <c r="J89" i="12"/>
  <c r="H89" i="12"/>
  <c r="G89" i="12"/>
  <c r="S89" i="12"/>
  <c r="A90" i="12"/>
  <c r="AC89" i="14" l="1"/>
  <c r="AH89" i="14" s="1"/>
  <c r="AG89" i="14"/>
  <c r="M90" i="14"/>
  <c r="T90" i="14" s="1"/>
  <c r="I90" i="14"/>
  <c r="G90" i="14"/>
  <c r="P90" i="14" a="1"/>
  <c r="P90" i="14" s="1"/>
  <c r="R90" i="14" s="1"/>
  <c r="U90" i="14" s="1"/>
  <c r="J90" i="14"/>
  <c r="Z89" i="14"/>
  <c r="N90" i="14"/>
  <c r="O90" i="14" s="1"/>
  <c r="S90" i="14"/>
  <c r="H90" i="14"/>
  <c r="Q90" i="14" a="1"/>
  <c r="Q90" i="14" s="1"/>
  <c r="W90" i="14" s="1"/>
  <c r="Y90" i="14" s="1"/>
  <c r="A91" i="14"/>
  <c r="W89" i="12"/>
  <c r="Y89" i="12" s="1"/>
  <c r="V89" i="12"/>
  <c r="AA89" i="12" s="1"/>
  <c r="X89" i="12"/>
  <c r="F90" i="12"/>
  <c r="L89" i="12"/>
  <c r="AD89" i="12" s="1"/>
  <c r="AF89" i="12" s="1"/>
  <c r="D90" i="12"/>
  <c r="E90" i="12"/>
  <c r="K89" i="12"/>
  <c r="AB89" i="12" s="1"/>
  <c r="B90" i="12"/>
  <c r="Q90" i="12" s="1" a="1"/>
  <c r="Q90" i="12" s="1"/>
  <c r="M90" i="12" l="1"/>
  <c r="T90" i="12" s="1"/>
  <c r="I90" i="12"/>
  <c r="K90" i="14"/>
  <c r="AB90" i="14" s="1"/>
  <c r="L90" i="14"/>
  <c r="AD90" i="14" s="1"/>
  <c r="AF90" i="14" s="1"/>
  <c r="V90" i="14"/>
  <c r="AA90" i="14" s="1"/>
  <c r="X90" i="14"/>
  <c r="Z90" i="14" s="1"/>
  <c r="E91" i="14"/>
  <c r="I91" i="14" s="1"/>
  <c r="F91" i="14"/>
  <c r="D91" i="14"/>
  <c r="B91" i="14"/>
  <c r="P91" i="14" s="1" a="1"/>
  <c r="P91" i="14" s="1"/>
  <c r="P90" i="12" a="1"/>
  <c r="P90" i="12" s="1"/>
  <c r="R90" i="12" s="1"/>
  <c r="U90" i="12" s="1"/>
  <c r="Z89" i="12"/>
  <c r="AC89" i="12"/>
  <c r="AH89" i="12" s="1"/>
  <c r="AE89" i="12"/>
  <c r="AG89" i="12" s="1"/>
  <c r="C90" i="12"/>
  <c r="N90" i="12"/>
  <c r="O90" i="12" s="1"/>
  <c r="J90" i="12"/>
  <c r="G90" i="12"/>
  <c r="K90" i="12" s="1"/>
  <c r="H90" i="12"/>
  <c r="S90" i="12"/>
  <c r="A91" i="12"/>
  <c r="M91" i="14" l="1"/>
  <c r="T91" i="14" s="1"/>
  <c r="AC90" i="14"/>
  <c r="AH90" i="14" s="1"/>
  <c r="AE90" i="14"/>
  <c r="AG90" i="14" s="1"/>
  <c r="J91" i="14"/>
  <c r="H91" i="14"/>
  <c r="Q91" i="14" a="1"/>
  <c r="Q91" i="14" s="1"/>
  <c r="A92" i="14"/>
  <c r="G91" i="14"/>
  <c r="K91" i="14" s="1"/>
  <c r="S91" i="14"/>
  <c r="R91" i="14"/>
  <c r="U91" i="14" s="1"/>
  <c r="V91" i="14" s="1"/>
  <c r="AA91" i="14" s="1"/>
  <c r="N91" i="14"/>
  <c r="O91" i="14" s="1"/>
  <c r="AB91" i="14" s="1"/>
  <c r="C91" i="14"/>
  <c r="W90" i="12"/>
  <c r="Y90" i="12" s="1"/>
  <c r="AB90" i="12"/>
  <c r="AC90" i="12" s="1"/>
  <c r="AH90" i="12" s="1"/>
  <c r="V90" i="12"/>
  <c r="AA90" i="12" s="1"/>
  <c r="X90" i="12"/>
  <c r="F91" i="12"/>
  <c r="L90" i="12"/>
  <c r="AD90" i="12" s="1"/>
  <c r="AF90" i="12" s="1"/>
  <c r="D91" i="12"/>
  <c r="E91" i="12"/>
  <c r="I91" i="12" s="1"/>
  <c r="B91" i="12"/>
  <c r="Q91" i="12" s="1" a="1"/>
  <c r="Q91" i="12" s="1"/>
  <c r="L91" i="14" l="1"/>
  <c r="W91" i="14"/>
  <c r="Y91" i="14" s="1"/>
  <c r="M91" i="12"/>
  <c r="T91" i="12" s="1"/>
  <c r="AD91" i="14"/>
  <c r="AF91" i="14" s="1"/>
  <c r="AE90" i="12"/>
  <c r="AG90" i="12" s="1"/>
  <c r="AE91" i="14"/>
  <c r="AC91" i="14"/>
  <c r="AH91" i="14" s="1"/>
  <c r="X91" i="14"/>
  <c r="E92" i="14"/>
  <c r="F92" i="14"/>
  <c r="D92" i="14"/>
  <c r="B92" i="14"/>
  <c r="C92" i="14" s="1"/>
  <c r="P91" i="12" a="1"/>
  <c r="P91" i="12" s="1"/>
  <c r="R91" i="12" s="1"/>
  <c r="U91" i="12" s="1"/>
  <c r="Z90" i="12"/>
  <c r="N91" i="12"/>
  <c r="O91" i="12" s="1"/>
  <c r="C91" i="12"/>
  <c r="J91" i="12"/>
  <c r="H91" i="12"/>
  <c r="G91" i="12"/>
  <c r="S91" i="12"/>
  <c r="A92" i="12"/>
  <c r="K6" i="11"/>
  <c r="H6" i="11"/>
  <c r="Z91" i="14" l="1"/>
  <c r="AG91" i="14"/>
  <c r="M92" i="14"/>
  <c r="T92" i="14" s="1"/>
  <c r="I92" i="14"/>
  <c r="G92" i="14"/>
  <c r="P92" i="14" a="1"/>
  <c r="P92" i="14" s="1"/>
  <c r="J92" i="14"/>
  <c r="N92" i="14"/>
  <c r="O92" i="14" s="1"/>
  <c r="S92" i="14"/>
  <c r="R92" i="14"/>
  <c r="H92" i="14"/>
  <c r="Q92" i="14" a="1"/>
  <c r="Q92" i="14" s="1"/>
  <c r="A93" i="14"/>
  <c r="W91" i="12"/>
  <c r="Y91" i="12" s="1"/>
  <c r="V91" i="12"/>
  <c r="AA91" i="12" s="1"/>
  <c r="X91" i="12"/>
  <c r="F92" i="12"/>
  <c r="L91" i="12"/>
  <c r="AD91" i="12" s="1"/>
  <c r="AF91" i="12" s="1"/>
  <c r="D92" i="12"/>
  <c r="E92" i="12"/>
  <c r="I92" i="12" s="1"/>
  <c r="K91" i="12"/>
  <c r="AB91" i="12" s="1"/>
  <c r="B92" i="12"/>
  <c r="Q92" i="12" s="1" a="1"/>
  <c r="Q92" i="12" s="1"/>
  <c r="N92" i="12" l="1"/>
  <c r="M92" i="12"/>
  <c r="K92" i="14"/>
  <c r="U92" i="14" s="1"/>
  <c r="V92" i="14" s="1"/>
  <c r="AA92" i="14" s="1"/>
  <c r="AB92" i="14"/>
  <c r="AC92" i="14" s="1"/>
  <c r="AH92" i="14" s="1"/>
  <c r="L92" i="14"/>
  <c r="F93" i="14"/>
  <c r="E93" i="14"/>
  <c r="D93" i="14"/>
  <c r="B93" i="14"/>
  <c r="P92" i="12" a="1"/>
  <c r="P92" i="12" s="1"/>
  <c r="Z91" i="12"/>
  <c r="AC91" i="12"/>
  <c r="AH91" i="12" s="1"/>
  <c r="AE91" i="12"/>
  <c r="AG91" i="12" s="1"/>
  <c r="C92" i="12"/>
  <c r="T92" i="12"/>
  <c r="J92" i="12"/>
  <c r="H92" i="12"/>
  <c r="G92" i="12"/>
  <c r="K92" i="12" s="1"/>
  <c r="S92" i="12"/>
  <c r="R92" i="12"/>
  <c r="A93" i="12"/>
  <c r="M93" i="14" l="1"/>
  <c r="T93" i="14" s="1"/>
  <c r="X92" i="14"/>
  <c r="AE92" i="14"/>
  <c r="I93" i="14"/>
  <c r="J93" i="14"/>
  <c r="P93" i="14" a="1"/>
  <c r="P93" i="14" s="1"/>
  <c r="G93" i="14"/>
  <c r="N93" i="14"/>
  <c r="H93" i="14"/>
  <c r="Q93" i="14" a="1"/>
  <c r="Q93" i="14" s="1"/>
  <c r="A94" i="14"/>
  <c r="W92" i="14"/>
  <c r="Y92" i="14" s="1"/>
  <c r="Z92" i="14" s="1"/>
  <c r="AD92" i="14"/>
  <c r="AF92" i="14" s="1"/>
  <c r="S93" i="14"/>
  <c r="R93" i="14"/>
  <c r="C93" i="14"/>
  <c r="O92" i="12"/>
  <c r="U92" i="12" s="1"/>
  <c r="X92" i="12" s="1"/>
  <c r="F93" i="12"/>
  <c r="D93" i="12"/>
  <c r="E93" i="12"/>
  <c r="I93" i="12" s="1"/>
  <c r="L92" i="12"/>
  <c r="B93" i="12"/>
  <c r="Q93" i="12" s="1" a="1"/>
  <c r="Q93" i="12" s="1"/>
  <c r="O93" i="14" l="1"/>
  <c r="M93" i="12"/>
  <c r="T93" i="12" s="1"/>
  <c r="AG92" i="14"/>
  <c r="K93" i="14"/>
  <c r="L93" i="14"/>
  <c r="AD93" i="14" s="1"/>
  <c r="AF93" i="14" s="1"/>
  <c r="U93" i="14"/>
  <c r="F94" i="14"/>
  <c r="E94" i="14"/>
  <c r="D94" i="14"/>
  <c r="B94" i="14"/>
  <c r="G94" i="14" s="1"/>
  <c r="P93" i="12" a="1"/>
  <c r="P93" i="12" s="1"/>
  <c r="AB92" i="12"/>
  <c r="AC92" i="12" s="1"/>
  <c r="AH92" i="12" s="1"/>
  <c r="V92" i="12"/>
  <c r="AA92" i="12" s="1"/>
  <c r="AD92" i="12"/>
  <c r="AF92" i="12" s="1"/>
  <c r="W92" i="12"/>
  <c r="Y92" i="12" s="1"/>
  <c r="Z92" i="12" s="1"/>
  <c r="C93" i="12"/>
  <c r="N93" i="12"/>
  <c r="O93" i="12" s="1"/>
  <c r="J93" i="12"/>
  <c r="G93" i="12"/>
  <c r="K93" i="12" s="1"/>
  <c r="H93" i="12"/>
  <c r="S93" i="12"/>
  <c r="R93" i="12"/>
  <c r="A94" i="12"/>
  <c r="W93" i="14" l="1"/>
  <c r="Y93" i="14" s="1"/>
  <c r="AB93" i="14"/>
  <c r="AE93" i="14" s="1"/>
  <c r="AG93" i="14" s="1"/>
  <c r="M94" i="14"/>
  <c r="T94" i="14" s="1"/>
  <c r="I94" i="14"/>
  <c r="K94" i="14" s="1"/>
  <c r="J94" i="14"/>
  <c r="N94" i="14"/>
  <c r="H94" i="14"/>
  <c r="Q94" i="14" a="1"/>
  <c r="Q94" i="14" s="1"/>
  <c r="A95" i="14"/>
  <c r="S94" i="14"/>
  <c r="R94" i="14"/>
  <c r="X93" i="14"/>
  <c r="V93" i="14"/>
  <c r="AA93" i="14" s="1"/>
  <c r="C94" i="14"/>
  <c r="P94" i="14" a="1"/>
  <c r="P94" i="14" s="1"/>
  <c r="U93" i="12"/>
  <c r="V93" i="12" s="1"/>
  <c r="AA93" i="12" s="1"/>
  <c r="AE92" i="12"/>
  <c r="AG92" i="12" s="1"/>
  <c r="AB93" i="12"/>
  <c r="E94" i="12"/>
  <c r="F94" i="12"/>
  <c r="M94" i="12" s="1"/>
  <c r="D94" i="12"/>
  <c r="L93" i="12"/>
  <c r="B94" i="12"/>
  <c r="Q94" i="12" s="1" a="1"/>
  <c r="Q94" i="12" s="1"/>
  <c r="Z93" i="14" l="1"/>
  <c r="AC93" i="14"/>
  <c r="AH93" i="14" s="1"/>
  <c r="O94" i="14"/>
  <c r="U94" i="14" s="1"/>
  <c r="L94" i="14"/>
  <c r="AD94" i="14" s="1"/>
  <c r="AF94" i="14" s="1"/>
  <c r="F95" i="14"/>
  <c r="N95" i="14" s="1"/>
  <c r="D95" i="14"/>
  <c r="E95" i="14"/>
  <c r="B95" i="14"/>
  <c r="P95" i="14" s="1" a="1"/>
  <c r="P95" i="14" s="1"/>
  <c r="P94" i="12" a="1"/>
  <c r="P94" i="12" s="1"/>
  <c r="X93" i="12"/>
  <c r="AC93" i="12"/>
  <c r="AH93" i="12" s="1"/>
  <c r="AE93" i="12"/>
  <c r="W93" i="12"/>
  <c r="Y93" i="12" s="1"/>
  <c r="AD93" i="12"/>
  <c r="AF93" i="12" s="1"/>
  <c r="C94" i="12"/>
  <c r="I94" i="12"/>
  <c r="J94" i="12"/>
  <c r="N94" i="12"/>
  <c r="T94" i="12"/>
  <c r="H94" i="12"/>
  <c r="G94" i="12"/>
  <c r="S94" i="12"/>
  <c r="R94" i="12"/>
  <c r="A95" i="12"/>
  <c r="W94" i="14" l="1"/>
  <c r="Y94" i="14" s="1"/>
  <c r="V94" i="14"/>
  <c r="AA94" i="14" s="1"/>
  <c r="X94" i="14"/>
  <c r="AB94" i="14"/>
  <c r="I95" i="14"/>
  <c r="M95" i="14"/>
  <c r="O95" i="14" s="1"/>
  <c r="G95" i="14"/>
  <c r="C95" i="14"/>
  <c r="Z93" i="12"/>
  <c r="S95" i="14"/>
  <c r="R95" i="14"/>
  <c r="J95" i="14"/>
  <c r="H95" i="14"/>
  <c r="Q95" i="14" a="1"/>
  <c r="Q95" i="14" s="1"/>
  <c r="A96" i="14"/>
  <c r="AG93" i="12"/>
  <c r="O94" i="12"/>
  <c r="F95" i="12"/>
  <c r="L94" i="12"/>
  <c r="AD94" i="12" s="1"/>
  <c r="AF94" i="12" s="1"/>
  <c r="D95" i="12"/>
  <c r="E95" i="12"/>
  <c r="K94" i="12"/>
  <c r="B95" i="12"/>
  <c r="Q95" i="12" s="1" a="1"/>
  <c r="Q95" i="12" s="1"/>
  <c r="Z94" i="14" l="1"/>
  <c r="K95" i="14"/>
  <c r="U95" i="14" s="1"/>
  <c r="V95" i="14" s="1"/>
  <c r="AA95" i="14" s="1"/>
  <c r="AC94" i="14"/>
  <c r="AH94" i="14" s="1"/>
  <c r="AE94" i="14"/>
  <c r="AG94" i="14" s="1"/>
  <c r="T95" i="14"/>
  <c r="M95" i="12"/>
  <c r="T95" i="12" s="1"/>
  <c r="I95" i="12"/>
  <c r="F96" i="14"/>
  <c r="D96" i="14"/>
  <c r="E96" i="14"/>
  <c r="B96" i="14"/>
  <c r="G96" i="14" s="1"/>
  <c r="L95" i="14"/>
  <c r="U94" i="12"/>
  <c r="X94" i="12" s="1"/>
  <c r="P95" i="12" a="1"/>
  <c r="P95" i="12" s="1"/>
  <c r="N95" i="12"/>
  <c r="O95" i="12" s="1"/>
  <c r="W94" i="12"/>
  <c r="Y94" i="12" s="1"/>
  <c r="AB94" i="12"/>
  <c r="C95" i="12"/>
  <c r="J95" i="12"/>
  <c r="H95" i="12"/>
  <c r="G95" i="12"/>
  <c r="R95" i="12"/>
  <c r="S95" i="12"/>
  <c r="A96" i="12"/>
  <c r="AB95" i="14" l="1"/>
  <c r="AC95" i="14" s="1"/>
  <c r="AH95" i="14" s="1"/>
  <c r="X95" i="14"/>
  <c r="I96" i="14"/>
  <c r="K96" i="14" s="1"/>
  <c r="M96" i="14"/>
  <c r="T96" i="14" s="1"/>
  <c r="C96" i="14"/>
  <c r="V94" i="12"/>
  <c r="AA94" i="12" s="1"/>
  <c r="N96" i="14"/>
  <c r="S96" i="14"/>
  <c r="R96" i="14"/>
  <c r="J96" i="14"/>
  <c r="H96" i="14"/>
  <c r="Q96" i="14" a="1"/>
  <c r="Q96" i="14" s="1"/>
  <c r="A97" i="14"/>
  <c r="P96" i="14" a="1"/>
  <c r="P96" i="14" s="1"/>
  <c r="W95" i="14"/>
  <c r="Y95" i="14" s="1"/>
  <c r="Z95" i="14" s="1"/>
  <c r="AD95" i="14"/>
  <c r="AF95" i="14" s="1"/>
  <c r="Z94" i="12"/>
  <c r="AC94" i="12"/>
  <c r="AH94" i="12" s="1"/>
  <c r="AE94" i="12"/>
  <c r="AG94" i="12" s="1"/>
  <c r="F96" i="12"/>
  <c r="L95" i="12"/>
  <c r="D96" i="12"/>
  <c r="E96" i="12"/>
  <c r="I96" i="12" s="1"/>
  <c r="K95" i="12"/>
  <c r="B96" i="12"/>
  <c r="Q96" i="12" s="1" a="1"/>
  <c r="Q96" i="12" s="1"/>
  <c r="O96" i="14" l="1"/>
  <c r="AB96" i="14" s="1"/>
  <c r="AC96" i="14" s="1"/>
  <c r="AH96" i="14" s="1"/>
  <c r="AE95" i="14"/>
  <c r="AG95" i="14" s="1"/>
  <c r="U96" i="14"/>
  <c r="V96" i="14" s="1"/>
  <c r="AA96" i="14" s="1"/>
  <c r="M96" i="12"/>
  <c r="T96" i="12" s="1"/>
  <c r="AE96" i="14"/>
  <c r="L96" i="14"/>
  <c r="F97" i="14"/>
  <c r="E97" i="14"/>
  <c r="D97" i="14"/>
  <c r="B97" i="14"/>
  <c r="G97" i="14" s="1"/>
  <c r="P96" i="12" a="1"/>
  <c r="P96" i="12" s="1"/>
  <c r="C96" i="12"/>
  <c r="U95" i="12"/>
  <c r="AB95" i="12"/>
  <c r="AC95" i="12" s="1"/>
  <c r="AH95" i="12" s="1"/>
  <c r="AD95" i="12"/>
  <c r="AF95" i="12" s="1"/>
  <c r="W95" i="12"/>
  <c r="Y95" i="12" s="1"/>
  <c r="N96" i="12"/>
  <c r="O96" i="12" s="1"/>
  <c r="J96" i="12"/>
  <c r="H96" i="12"/>
  <c r="G96" i="12"/>
  <c r="S96" i="12"/>
  <c r="R96" i="12"/>
  <c r="A97" i="12"/>
  <c r="X96" i="14" l="1"/>
  <c r="I97" i="14"/>
  <c r="K97" i="14" s="1"/>
  <c r="M97" i="14"/>
  <c r="T97" i="14" s="1"/>
  <c r="P97" i="14" a="1"/>
  <c r="P97" i="14" s="1"/>
  <c r="S97" i="14"/>
  <c r="R97" i="14"/>
  <c r="J97" i="14"/>
  <c r="N97" i="14"/>
  <c r="O97" i="14" s="1"/>
  <c r="AB97" i="14" s="1"/>
  <c r="W96" i="14"/>
  <c r="Y96" i="14" s="1"/>
  <c r="AD96" i="14"/>
  <c r="AF96" i="14" s="1"/>
  <c r="AG96" i="14" s="1"/>
  <c r="H97" i="14"/>
  <c r="Q97" i="14" a="1"/>
  <c r="Q97" i="14" s="1"/>
  <c r="A98" i="14"/>
  <c r="C97" i="14"/>
  <c r="X95" i="12"/>
  <c r="Z95" i="12" s="1"/>
  <c r="V95" i="12"/>
  <c r="AA95" i="12" s="1"/>
  <c r="AE95" i="12"/>
  <c r="AG95" i="12" s="1"/>
  <c r="F97" i="12"/>
  <c r="L96" i="12"/>
  <c r="D97" i="12"/>
  <c r="E97" i="12"/>
  <c r="J97" i="12" s="1"/>
  <c r="K96" i="12"/>
  <c r="AB96" i="12" s="1"/>
  <c r="AC96" i="12" s="1"/>
  <c r="B97" i="12"/>
  <c r="Q97" i="12" s="1" a="1"/>
  <c r="Q97" i="12" s="1"/>
  <c r="Z96" i="14" l="1"/>
  <c r="M97" i="12"/>
  <c r="T97" i="12" s="1"/>
  <c r="U97" i="14"/>
  <c r="X97" i="14" s="1"/>
  <c r="AE97" i="14"/>
  <c r="AC97" i="14"/>
  <c r="AH97" i="14" s="1"/>
  <c r="F98" i="14"/>
  <c r="E98" i="14"/>
  <c r="D98" i="14"/>
  <c r="B98" i="14"/>
  <c r="G98" i="14" s="1"/>
  <c r="L97" i="14"/>
  <c r="P97" i="12" a="1"/>
  <c r="P97" i="12" s="1"/>
  <c r="AH96" i="12"/>
  <c r="N97" i="12"/>
  <c r="AD96" i="12"/>
  <c r="AF96" i="12" s="1"/>
  <c r="W96" i="12"/>
  <c r="Y96" i="12" s="1"/>
  <c r="AE96" i="12"/>
  <c r="U96" i="12"/>
  <c r="V96" i="12" s="1"/>
  <c r="AA96" i="12" s="1"/>
  <c r="C97" i="12"/>
  <c r="I97" i="12"/>
  <c r="G97" i="12"/>
  <c r="H97" i="12"/>
  <c r="R97" i="12"/>
  <c r="S97" i="12"/>
  <c r="A98" i="12"/>
  <c r="O97" i="12" l="1"/>
  <c r="M98" i="14"/>
  <c r="T98" i="14" s="1"/>
  <c r="V97" i="14"/>
  <c r="AA97" i="14" s="1"/>
  <c r="I98" i="14"/>
  <c r="K98" i="14" s="1"/>
  <c r="J98" i="14"/>
  <c r="N98" i="14"/>
  <c r="H98" i="14"/>
  <c r="Q98" i="14" a="1"/>
  <c r="Q98" i="14" s="1"/>
  <c r="A99" i="14"/>
  <c r="S98" i="14"/>
  <c r="R98" i="14"/>
  <c r="C98" i="14"/>
  <c r="AD97" i="14"/>
  <c r="AF97" i="14" s="1"/>
  <c r="AG97" i="14" s="1"/>
  <c r="W97" i="14"/>
  <c r="Y97" i="14" s="1"/>
  <c r="Z97" i="14" s="1"/>
  <c r="P98" i="14" a="1"/>
  <c r="P98" i="14" s="1"/>
  <c r="AG96" i="12"/>
  <c r="K97" i="12"/>
  <c r="U97" i="12" s="1"/>
  <c r="V97" i="12" s="1"/>
  <c r="AA97" i="12" s="1"/>
  <c r="X96" i="12"/>
  <c r="Z96" i="12" s="1"/>
  <c r="F98" i="12"/>
  <c r="D98" i="12"/>
  <c r="E98" i="12"/>
  <c r="L97" i="12"/>
  <c r="B98" i="12"/>
  <c r="Q98" i="12" s="1" a="1"/>
  <c r="Q98" i="12" s="1"/>
  <c r="I98" i="12" l="1"/>
  <c r="O98" i="14"/>
  <c r="U98" i="14" s="1"/>
  <c r="V98" i="14" s="1"/>
  <c r="AA98" i="14" s="1"/>
  <c r="AB97" i="12"/>
  <c r="AC97" i="12" s="1"/>
  <c r="AH97" i="12" s="1"/>
  <c r="M98" i="12"/>
  <c r="T98" i="12" s="1"/>
  <c r="L98" i="14"/>
  <c r="AD98" i="14" s="1"/>
  <c r="AF98" i="14" s="1"/>
  <c r="W98" i="14"/>
  <c r="Y98" i="14" s="1"/>
  <c r="F99" i="14"/>
  <c r="D99" i="14"/>
  <c r="E99" i="14"/>
  <c r="I99" i="14" s="1"/>
  <c r="K99" i="14" s="1"/>
  <c r="B99" i="14"/>
  <c r="G99" i="14" s="1"/>
  <c r="P98" i="12" a="1"/>
  <c r="P98" i="12" s="1"/>
  <c r="AE97" i="12"/>
  <c r="X97" i="12"/>
  <c r="W97" i="12"/>
  <c r="Y97" i="12" s="1"/>
  <c r="AD97" i="12"/>
  <c r="AF97" i="12" s="1"/>
  <c r="N98" i="12"/>
  <c r="O98" i="12" s="1"/>
  <c r="C98" i="12"/>
  <c r="J98" i="12"/>
  <c r="H98" i="12"/>
  <c r="G98" i="12"/>
  <c r="S98" i="12"/>
  <c r="R98" i="12"/>
  <c r="A99" i="12"/>
  <c r="K98" i="12" l="1"/>
  <c r="U98" i="12" s="1"/>
  <c r="X98" i="12" s="1"/>
  <c r="AB98" i="14"/>
  <c r="AE98" i="14" s="1"/>
  <c r="AG98" i="14" s="1"/>
  <c r="M99" i="14"/>
  <c r="T99" i="14" s="1"/>
  <c r="X98" i="14"/>
  <c r="Z98" i="14" s="1"/>
  <c r="S99" i="14"/>
  <c r="R99" i="14"/>
  <c r="H99" i="14"/>
  <c r="Q99" i="14" a="1"/>
  <c r="Q99" i="14" s="1"/>
  <c r="A100" i="14"/>
  <c r="J99" i="14"/>
  <c r="C99" i="14"/>
  <c r="N99" i="14"/>
  <c r="O99" i="14" s="1"/>
  <c r="U99" i="14" s="1"/>
  <c r="P99" i="14" a="1"/>
  <c r="P99" i="14" s="1"/>
  <c r="Z97" i="12"/>
  <c r="AG97" i="12"/>
  <c r="F99" i="12"/>
  <c r="L98" i="12"/>
  <c r="D99" i="12"/>
  <c r="E99" i="12"/>
  <c r="J99" i="12" s="1"/>
  <c r="B99" i="12"/>
  <c r="Q99" i="12" s="1" a="1"/>
  <c r="Q99" i="12" s="1"/>
  <c r="L99" i="14" l="1"/>
  <c r="AB98" i="12"/>
  <c r="AC98" i="12" s="1"/>
  <c r="AH98" i="12" s="1"/>
  <c r="AC98" i="14"/>
  <c r="AH98" i="14" s="1"/>
  <c r="M99" i="12"/>
  <c r="T99" i="12" s="1"/>
  <c r="W99" i="14"/>
  <c r="Y99" i="14" s="1"/>
  <c r="V99" i="14"/>
  <c r="AA99" i="14" s="1"/>
  <c r="X99" i="14"/>
  <c r="AB99" i="14"/>
  <c r="AD99" i="14"/>
  <c r="AF99" i="14" s="1"/>
  <c r="F100" i="14"/>
  <c r="D100" i="14"/>
  <c r="E100" i="14"/>
  <c r="I100" i="14" s="1"/>
  <c r="B100" i="14"/>
  <c r="P100" i="14" s="1" a="1"/>
  <c r="P100" i="14" s="1"/>
  <c r="P99" i="12" a="1"/>
  <c r="P99" i="12" s="1"/>
  <c r="V98" i="12"/>
  <c r="AA98" i="12" s="1"/>
  <c r="N99" i="12"/>
  <c r="O99" i="12" s="1"/>
  <c r="AD98" i="12"/>
  <c r="AF98" i="12" s="1"/>
  <c r="W98" i="12"/>
  <c r="Y98" i="12" s="1"/>
  <c r="Z98" i="12" s="1"/>
  <c r="C99" i="12"/>
  <c r="I99" i="12"/>
  <c r="G99" i="12"/>
  <c r="H99" i="12"/>
  <c r="R99" i="12"/>
  <c r="S99" i="12"/>
  <c r="A100" i="12"/>
  <c r="AE98" i="12" l="1"/>
  <c r="Z99" i="14"/>
  <c r="M100" i="14"/>
  <c r="T100" i="14" s="1"/>
  <c r="C100" i="14"/>
  <c r="G100" i="14"/>
  <c r="K100" i="14" s="1"/>
  <c r="N100" i="14"/>
  <c r="O100" i="14" s="1"/>
  <c r="J100" i="14"/>
  <c r="S100" i="14"/>
  <c r="R100" i="14"/>
  <c r="AE99" i="14"/>
  <c r="AG99" i="14" s="1"/>
  <c r="AC99" i="14"/>
  <c r="AH99" i="14" s="1"/>
  <c r="H100" i="14"/>
  <c r="Q100" i="14" a="1"/>
  <c r="Q100" i="14" s="1"/>
  <c r="A101" i="14"/>
  <c r="K99" i="12"/>
  <c r="AB99" i="12" s="1"/>
  <c r="AG98" i="12"/>
  <c r="F100" i="12"/>
  <c r="D100" i="12"/>
  <c r="E100" i="12"/>
  <c r="I100" i="12" s="1"/>
  <c r="L99" i="12"/>
  <c r="B100" i="12"/>
  <c r="Q100" i="12" s="1" a="1"/>
  <c r="Q100" i="12" s="1"/>
  <c r="U100" i="14" l="1"/>
  <c r="V100" i="14" s="1"/>
  <c r="AA100" i="14" s="1"/>
  <c r="M100" i="12"/>
  <c r="T100" i="12" s="1"/>
  <c r="AB100" i="14"/>
  <c r="AC100" i="14" s="1"/>
  <c r="AH100" i="14" s="1"/>
  <c r="U99" i="12"/>
  <c r="V99" i="12" s="1"/>
  <c r="AA99" i="12" s="1"/>
  <c r="F101" i="14"/>
  <c r="E101" i="14"/>
  <c r="D101" i="14"/>
  <c r="B101" i="14"/>
  <c r="G101" i="14" s="1"/>
  <c r="P101" i="14" a="1"/>
  <c r="P101" i="14" s="1"/>
  <c r="L100" i="14"/>
  <c r="P100" i="12" a="1"/>
  <c r="P100" i="12" s="1"/>
  <c r="W99" i="12"/>
  <c r="Y99" i="12" s="1"/>
  <c r="AD99" i="12"/>
  <c r="AF99" i="12" s="1"/>
  <c r="AE99" i="12"/>
  <c r="AC99" i="12"/>
  <c r="AH99" i="12" s="1"/>
  <c r="N100" i="12"/>
  <c r="O100" i="12" s="1"/>
  <c r="C100" i="12"/>
  <c r="J100" i="12"/>
  <c r="H100" i="12"/>
  <c r="G100" i="12"/>
  <c r="S100" i="12"/>
  <c r="R100" i="12"/>
  <c r="A101" i="12"/>
  <c r="AE100" i="14" l="1"/>
  <c r="X100" i="14"/>
  <c r="M101" i="14"/>
  <c r="T101" i="14" s="1"/>
  <c r="I101" i="14"/>
  <c r="K101" i="14" s="1"/>
  <c r="X99" i="12"/>
  <c r="Z99" i="12" s="1"/>
  <c r="S101" i="14"/>
  <c r="R101" i="14"/>
  <c r="J101" i="14"/>
  <c r="N101" i="14"/>
  <c r="O101" i="14" s="1"/>
  <c r="AB101" i="14" s="1"/>
  <c r="AC101" i="14" s="1"/>
  <c r="AH101" i="14" s="1"/>
  <c r="H101" i="14"/>
  <c r="Q101" i="14" a="1"/>
  <c r="Q101" i="14" s="1"/>
  <c r="A102" i="14"/>
  <c r="C101" i="14"/>
  <c r="W100" i="14"/>
  <c r="Y100" i="14" s="1"/>
  <c r="Z100" i="14" s="1"/>
  <c r="AD100" i="14"/>
  <c r="AF100" i="14" s="1"/>
  <c r="AG99" i="12"/>
  <c r="L100" i="12"/>
  <c r="F101" i="12"/>
  <c r="D101" i="12"/>
  <c r="E101" i="12"/>
  <c r="I101" i="12" s="1"/>
  <c r="K100" i="12"/>
  <c r="AB100" i="12" s="1"/>
  <c r="B101" i="12"/>
  <c r="Q101" i="12" s="1" a="1"/>
  <c r="Q101" i="12" s="1"/>
  <c r="AG100" i="14" l="1"/>
  <c r="M101" i="12"/>
  <c r="T101" i="12" s="1"/>
  <c r="U101" i="14"/>
  <c r="V101" i="14" s="1"/>
  <c r="AA101" i="14" s="1"/>
  <c r="AE101" i="14"/>
  <c r="L101" i="14"/>
  <c r="F102" i="14"/>
  <c r="N102" i="14" s="1"/>
  <c r="E102" i="14"/>
  <c r="D102" i="14"/>
  <c r="B102" i="14"/>
  <c r="G102" i="14" s="1"/>
  <c r="P101" i="12" a="1"/>
  <c r="P101" i="12" s="1"/>
  <c r="AC100" i="12"/>
  <c r="AH100" i="12" s="1"/>
  <c r="AE100" i="12"/>
  <c r="AD100" i="12"/>
  <c r="AF100" i="12" s="1"/>
  <c r="W100" i="12"/>
  <c r="Y100" i="12" s="1"/>
  <c r="U100" i="12"/>
  <c r="C101" i="12"/>
  <c r="N101" i="12"/>
  <c r="O101" i="12" s="1"/>
  <c r="J101" i="12"/>
  <c r="H101" i="12"/>
  <c r="G101" i="12"/>
  <c r="K101" i="12" s="1"/>
  <c r="S101" i="12"/>
  <c r="R101" i="12"/>
  <c r="A102" i="12"/>
  <c r="I102" i="14" l="1"/>
  <c r="K102" i="14" s="1"/>
  <c r="M102" i="14"/>
  <c r="O102" i="14" s="1"/>
  <c r="J102" i="14"/>
  <c r="U101" i="12"/>
  <c r="V101" i="12" s="1"/>
  <c r="X101" i="14"/>
  <c r="H102" i="14"/>
  <c r="Q102" i="14" a="1"/>
  <c r="Q102" i="14" s="1"/>
  <c r="A103" i="14"/>
  <c r="S102" i="14"/>
  <c r="R102" i="14"/>
  <c r="AD101" i="14"/>
  <c r="AF101" i="14" s="1"/>
  <c r="AG101" i="14" s="1"/>
  <c r="W101" i="14"/>
  <c r="Y101" i="14" s="1"/>
  <c r="P102" i="14" a="1"/>
  <c r="P102" i="14" s="1"/>
  <c r="C102" i="14"/>
  <c r="AG100" i="12"/>
  <c r="AB101" i="12"/>
  <c r="V100" i="12"/>
  <c r="AA100" i="12" s="1"/>
  <c r="X100" i="12"/>
  <c r="Z100" i="12" s="1"/>
  <c r="F102" i="12"/>
  <c r="D102" i="12"/>
  <c r="E102" i="12"/>
  <c r="L101" i="12"/>
  <c r="B102" i="12"/>
  <c r="Q102" i="12" s="1" a="1"/>
  <c r="Q102" i="12" s="1"/>
  <c r="J102" i="12" l="1"/>
  <c r="U102" i="14"/>
  <c r="V102" i="14" s="1"/>
  <c r="AA102" i="14" s="1"/>
  <c r="AB102" i="14"/>
  <c r="AE102" i="14" s="1"/>
  <c r="AA101" i="12"/>
  <c r="M102" i="12"/>
  <c r="T102" i="12" s="1"/>
  <c r="T102" i="14"/>
  <c r="Z101" i="14"/>
  <c r="L102" i="14"/>
  <c r="AC102" i="14"/>
  <c r="AH102" i="14" s="1"/>
  <c r="F103" i="14"/>
  <c r="D103" i="14"/>
  <c r="E103" i="14"/>
  <c r="I103" i="14" s="1"/>
  <c r="B103" i="14"/>
  <c r="C103" i="14" s="1"/>
  <c r="P102" i="12" a="1"/>
  <c r="P102" i="12" s="1"/>
  <c r="AD101" i="12"/>
  <c r="AF101" i="12" s="1"/>
  <c r="W101" i="12"/>
  <c r="Y101" i="12" s="1"/>
  <c r="X101" i="12"/>
  <c r="AE101" i="12"/>
  <c r="AC101" i="12"/>
  <c r="AH101" i="12" s="1"/>
  <c r="N102" i="12"/>
  <c r="O102" i="12" s="1"/>
  <c r="C102" i="12"/>
  <c r="I102" i="12"/>
  <c r="G102" i="12"/>
  <c r="H102" i="12"/>
  <c r="R102" i="12"/>
  <c r="S102" i="12"/>
  <c r="A103" i="12"/>
  <c r="W102" i="14" l="1"/>
  <c r="Y102" i="14" s="1"/>
  <c r="X102" i="14"/>
  <c r="K102" i="12"/>
  <c r="AD102" i="14"/>
  <c r="AF102" i="14" s="1"/>
  <c r="AG102" i="14" s="1"/>
  <c r="M103" i="14"/>
  <c r="T103" i="14" s="1"/>
  <c r="AG101" i="12"/>
  <c r="S103" i="14"/>
  <c r="R103" i="14"/>
  <c r="G103" i="14"/>
  <c r="K103" i="14" s="1"/>
  <c r="J103" i="14"/>
  <c r="H103" i="14"/>
  <c r="Q103" i="14" a="1"/>
  <c r="Q103" i="14" s="1"/>
  <c r="A104" i="14"/>
  <c r="N103" i="14"/>
  <c r="O103" i="14" s="1"/>
  <c r="P103" i="14" a="1"/>
  <c r="P103" i="14" s="1"/>
  <c r="Z101" i="12"/>
  <c r="AB102" i="12"/>
  <c r="AC102" i="12" s="1"/>
  <c r="AH102" i="12" s="1"/>
  <c r="U102" i="12"/>
  <c r="F103" i="12"/>
  <c r="D103" i="12"/>
  <c r="E103" i="12"/>
  <c r="I103" i="12" s="1"/>
  <c r="L102" i="12"/>
  <c r="B103" i="12"/>
  <c r="Q103" i="12" s="1" a="1"/>
  <c r="Q103" i="12" s="1"/>
  <c r="Z102" i="14" l="1"/>
  <c r="M103" i="12"/>
  <c r="T103" i="12" s="1"/>
  <c r="AB103" i="14"/>
  <c r="U103" i="14"/>
  <c r="F104" i="14"/>
  <c r="D104" i="14"/>
  <c r="E104" i="14"/>
  <c r="I104" i="14" s="1"/>
  <c r="B104" i="14"/>
  <c r="G104" i="14" s="1"/>
  <c r="L103" i="14"/>
  <c r="P103" i="12" a="1"/>
  <c r="P103" i="12" s="1"/>
  <c r="AE102" i="12"/>
  <c r="W102" i="12"/>
  <c r="Y102" i="12" s="1"/>
  <c r="AD102" i="12"/>
  <c r="AF102" i="12" s="1"/>
  <c r="C103" i="12"/>
  <c r="V102" i="12"/>
  <c r="AA102" i="12" s="1"/>
  <c r="X102" i="12"/>
  <c r="N103" i="12"/>
  <c r="O103" i="12" s="1"/>
  <c r="J103" i="12"/>
  <c r="G103" i="12"/>
  <c r="K103" i="12" s="1"/>
  <c r="H103" i="12"/>
  <c r="R103" i="12"/>
  <c r="S103" i="12"/>
  <c r="A104" i="12"/>
  <c r="M104" i="14" l="1"/>
  <c r="T104" i="14" s="1"/>
  <c r="K104" i="14"/>
  <c r="N104" i="14"/>
  <c r="H104" i="14"/>
  <c r="Q104" i="14" a="1"/>
  <c r="Q104" i="14" s="1"/>
  <c r="A105" i="14"/>
  <c r="W103" i="14"/>
  <c r="Y103" i="14" s="1"/>
  <c r="AD103" i="14"/>
  <c r="AF103" i="14" s="1"/>
  <c r="S104" i="14"/>
  <c r="R104" i="14"/>
  <c r="J104" i="14"/>
  <c r="L104" i="14" s="1"/>
  <c r="P104" i="14" a="1"/>
  <c r="P104" i="14" s="1"/>
  <c r="V103" i="14"/>
  <c r="AA103" i="14" s="1"/>
  <c r="X103" i="14"/>
  <c r="C104" i="14"/>
  <c r="AC103" i="14"/>
  <c r="AH103" i="14" s="1"/>
  <c r="AE103" i="14"/>
  <c r="Z102" i="12"/>
  <c r="U103" i="12"/>
  <c r="X103" i="12" s="1"/>
  <c r="AG102" i="12"/>
  <c r="AB103" i="12"/>
  <c r="L103" i="12"/>
  <c r="F104" i="12"/>
  <c r="D104" i="12"/>
  <c r="E104" i="12"/>
  <c r="I104" i="12" s="1"/>
  <c r="B104" i="12"/>
  <c r="Q104" i="12" s="1" a="1"/>
  <c r="Q104" i="12" s="1"/>
  <c r="O104" i="14" l="1"/>
  <c r="AB104" i="14" s="1"/>
  <c r="AC104" i="14" s="1"/>
  <c r="AH104" i="14" s="1"/>
  <c r="W104" i="14"/>
  <c r="Y104" i="14" s="1"/>
  <c r="M104" i="12"/>
  <c r="T104" i="12" s="1"/>
  <c r="F105" i="14"/>
  <c r="E105" i="14"/>
  <c r="I105" i="14" s="1"/>
  <c r="D105" i="14"/>
  <c r="B105" i="14"/>
  <c r="P105" i="14" s="1" a="1"/>
  <c r="P105" i="14" s="1"/>
  <c r="AG103" i="14"/>
  <c r="AD104" i="14"/>
  <c r="AF104" i="14" s="1"/>
  <c r="Z103" i="14"/>
  <c r="P104" i="12" a="1"/>
  <c r="P104" i="12" s="1"/>
  <c r="V103" i="12"/>
  <c r="AA103" i="12" s="1"/>
  <c r="N104" i="12"/>
  <c r="O104" i="12" s="1"/>
  <c r="AD103" i="12"/>
  <c r="AF103" i="12" s="1"/>
  <c r="W103" i="12"/>
  <c r="Y103" i="12" s="1"/>
  <c r="Z103" i="12" s="1"/>
  <c r="AC103" i="12"/>
  <c r="AH103" i="12" s="1"/>
  <c r="AE103" i="12"/>
  <c r="C104" i="12"/>
  <c r="J104" i="12"/>
  <c r="H104" i="12"/>
  <c r="G104" i="12"/>
  <c r="K104" i="12" s="1"/>
  <c r="S104" i="12"/>
  <c r="R104" i="12"/>
  <c r="A105" i="12"/>
  <c r="AE104" i="14" l="1"/>
  <c r="U104" i="14"/>
  <c r="V104" i="14" s="1"/>
  <c r="AA104" i="14" s="1"/>
  <c r="M105" i="14"/>
  <c r="T105" i="14" s="1"/>
  <c r="G105" i="14"/>
  <c r="K105" i="14" s="1"/>
  <c r="N105" i="14"/>
  <c r="O105" i="14" s="1"/>
  <c r="H105" i="14"/>
  <c r="Q105" i="14" a="1"/>
  <c r="Q105" i="14" s="1"/>
  <c r="A106" i="14"/>
  <c r="S105" i="14"/>
  <c r="R105" i="14"/>
  <c r="J105" i="14"/>
  <c r="C105" i="14"/>
  <c r="AG104" i="14"/>
  <c r="AG103" i="12"/>
  <c r="U104" i="12"/>
  <c r="V104" i="12" s="1"/>
  <c r="AA104" i="12" s="1"/>
  <c r="AB104" i="12"/>
  <c r="F105" i="12"/>
  <c r="L104" i="12"/>
  <c r="D105" i="12"/>
  <c r="E105" i="12"/>
  <c r="I105" i="12" s="1"/>
  <c r="B105" i="12"/>
  <c r="Q105" i="12" s="1" a="1"/>
  <c r="Q105" i="12" s="1"/>
  <c r="X104" i="14" l="1"/>
  <c r="Z104" i="14" s="1"/>
  <c r="M105" i="12"/>
  <c r="T105" i="12" s="1"/>
  <c r="AB105" i="14"/>
  <c r="AE105" i="14" s="1"/>
  <c r="U105" i="14"/>
  <c r="V105" i="14" s="1"/>
  <c r="AA105" i="14" s="1"/>
  <c r="L105" i="14"/>
  <c r="F106" i="14"/>
  <c r="E106" i="14"/>
  <c r="I106" i="14" s="1"/>
  <c r="B106" i="14"/>
  <c r="N106" i="14"/>
  <c r="D106" i="14"/>
  <c r="P105" i="12" a="1"/>
  <c r="P105" i="12" s="1"/>
  <c r="X104" i="12"/>
  <c r="W104" i="12"/>
  <c r="Y104" i="12" s="1"/>
  <c r="AD104" i="12"/>
  <c r="AF104" i="12" s="1"/>
  <c r="AC104" i="12"/>
  <c r="AH104" i="12" s="1"/>
  <c r="AE104" i="12"/>
  <c r="C105" i="12"/>
  <c r="N105" i="12"/>
  <c r="O105" i="12" s="1"/>
  <c r="J105" i="12"/>
  <c r="G105" i="12"/>
  <c r="K105" i="12" s="1"/>
  <c r="H105" i="12"/>
  <c r="S105" i="12"/>
  <c r="R105" i="12"/>
  <c r="A106" i="12"/>
  <c r="AC105" i="14" l="1"/>
  <c r="AH105" i="14" s="1"/>
  <c r="M106" i="14"/>
  <c r="O106" i="14" s="1"/>
  <c r="X105" i="14"/>
  <c r="J106" i="14"/>
  <c r="H106" i="14"/>
  <c r="Q106" i="14" a="1"/>
  <c r="Q106" i="14" s="1"/>
  <c r="A107" i="14"/>
  <c r="P106" i="14" a="1"/>
  <c r="P106" i="14" s="1"/>
  <c r="G106" i="14"/>
  <c r="K106" i="14" s="1"/>
  <c r="W105" i="14"/>
  <c r="Y105" i="14" s="1"/>
  <c r="Z105" i="14" s="1"/>
  <c r="AD105" i="14"/>
  <c r="AF105" i="14" s="1"/>
  <c r="AG105" i="14" s="1"/>
  <c r="C106" i="14"/>
  <c r="S106" i="14"/>
  <c r="R106" i="14"/>
  <c r="AB105" i="12"/>
  <c r="AE105" i="12" s="1"/>
  <c r="AG104" i="12"/>
  <c r="Z104" i="12"/>
  <c r="U105" i="12"/>
  <c r="F106" i="12"/>
  <c r="D106" i="12"/>
  <c r="E106" i="12"/>
  <c r="I106" i="12" s="1"/>
  <c r="L105" i="12"/>
  <c r="B106" i="12"/>
  <c r="Q106" i="12" s="1" a="1"/>
  <c r="Q106" i="12" s="1"/>
  <c r="M106" i="12" l="1"/>
  <c r="T106" i="12" s="1"/>
  <c r="T106" i="14"/>
  <c r="L106" i="14"/>
  <c r="AD106" i="14" s="1"/>
  <c r="AF106" i="14" s="1"/>
  <c r="AC105" i="12"/>
  <c r="AH105" i="12" s="1"/>
  <c r="AB106" i="14"/>
  <c r="U106" i="14"/>
  <c r="F107" i="14"/>
  <c r="E107" i="14"/>
  <c r="J107" i="14" s="1"/>
  <c r="D107" i="14"/>
  <c r="B107" i="14"/>
  <c r="P107" i="14" s="1" a="1"/>
  <c r="P107" i="14" s="1"/>
  <c r="P106" i="12" a="1"/>
  <c r="P106" i="12" s="1"/>
  <c r="AD105" i="12"/>
  <c r="AF105" i="12" s="1"/>
  <c r="AG105" i="12" s="1"/>
  <c r="W105" i="12"/>
  <c r="Y105" i="12" s="1"/>
  <c r="V105" i="12"/>
  <c r="AA105" i="12" s="1"/>
  <c r="X105" i="12"/>
  <c r="C106" i="12"/>
  <c r="N106" i="12"/>
  <c r="O106" i="12" s="1"/>
  <c r="J106" i="12"/>
  <c r="H106" i="12"/>
  <c r="G106" i="12"/>
  <c r="R106" i="12"/>
  <c r="S106" i="12"/>
  <c r="A107" i="12"/>
  <c r="W106" i="14" l="1"/>
  <c r="Y106" i="14" s="1"/>
  <c r="M107" i="14"/>
  <c r="T107" i="14" s="1"/>
  <c r="H107" i="14"/>
  <c r="L107" i="14" s="1"/>
  <c r="Q107" i="14" a="1"/>
  <c r="Q107" i="14" s="1"/>
  <c r="A108" i="14"/>
  <c r="G107" i="14"/>
  <c r="I107" i="14"/>
  <c r="K107" i="14" s="1"/>
  <c r="S107" i="14"/>
  <c r="R107" i="14"/>
  <c r="C107" i="14"/>
  <c r="V106" i="14"/>
  <c r="AA106" i="14" s="1"/>
  <c r="X106" i="14"/>
  <c r="N107" i="14"/>
  <c r="O107" i="14" s="1"/>
  <c r="AE106" i="14"/>
  <c r="AG106" i="14" s="1"/>
  <c r="AC106" i="14"/>
  <c r="AH106" i="14" s="1"/>
  <c r="Z105" i="12"/>
  <c r="L106" i="12"/>
  <c r="F107" i="12"/>
  <c r="D107" i="12"/>
  <c r="E107" i="12"/>
  <c r="I107" i="12" s="1"/>
  <c r="K106" i="12"/>
  <c r="U106" i="12" s="1"/>
  <c r="B107" i="12"/>
  <c r="Q107" i="12" s="1" a="1"/>
  <c r="Q107" i="12" s="1"/>
  <c r="Z106" i="14" l="1"/>
  <c r="M107" i="12"/>
  <c r="T107" i="12" s="1"/>
  <c r="U107" i="14"/>
  <c r="V107" i="14" s="1"/>
  <c r="AA107" i="14" s="1"/>
  <c r="AB107" i="14"/>
  <c r="AE107" i="14" s="1"/>
  <c r="W107" i="14"/>
  <c r="Y107" i="14" s="1"/>
  <c r="AD107" i="14"/>
  <c r="AF107" i="14" s="1"/>
  <c r="F108" i="14"/>
  <c r="E108" i="14"/>
  <c r="D108" i="14"/>
  <c r="B108" i="14"/>
  <c r="C108" i="14" s="1"/>
  <c r="P107" i="12" a="1"/>
  <c r="P107" i="12" s="1"/>
  <c r="V106" i="12"/>
  <c r="AA106" i="12" s="1"/>
  <c r="X106" i="12"/>
  <c r="C107" i="12"/>
  <c r="AB106" i="12"/>
  <c r="W106" i="12"/>
  <c r="Y106" i="12" s="1"/>
  <c r="AD106" i="12"/>
  <c r="AF106" i="12" s="1"/>
  <c r="N107" i="12"/>
  <c r="O107" i="12" s="1"/>
  <c r="J107" i="12"/>
  <c r="H107" i="12"/>
  <c r="A108" i="12"/>
  <c r="G107" i="12"/>
  <c r="R107" i="12"/>
  <c r="S107" i="12"/>
  <c r="M108" i="14" l="1"/>
  <c r="T108" i="14" s="1"/>
  <c r="J108" i="14"/>
  <c r="AC107" i="14"/>
  <c r="AH107" i="14" s="1"/>
  <c r="AG107" i="14"/>
  <c r="G108" i="14"/>
  <c r="X107" i="14"/>
  <c r="Z107" i="14" s="1"/>
  <c r="I108" i="14"/>
  <c r="K108" i="14" s="1"/>
  <c r="N108" i="14"/>
  <c r="H108" i="14"/>
  <c r="L108" i="14" s="1"/>
  <c r="Q108" i="14" a="1"/>
  <c r="Q108" i="14" s="1"/>
  <c r="A109" i="14"/>
  <c r="S108" i="14"/>
  <c r="R108" i="14"/>
  <c r="P108" i="14" a="1"/>
  <c r="P108" i="14" s="1"/>
  <c r="Z106" i="12"/>
  <c r="AC106" i="12"/>
  <c r="AH106" i="12" s="1"/>
  <c r="AE106" i="12"/>
  <c r="AG106" i="12" s="1"/>
  <c r="L107" i="12"/>
  <c r="B108" i="12"/>
  <c r="Q108" i="12" s="1" a="1"/>
  <c r="Q108" i="12" s="1"/>
  <c r="D108" i="12"/>
  <c r="F108" i="12"/>
  <c r="E108" i="12"/>
  <c r="K107" i="12"/>
  <c r="AB107" i="12" s="1"/>
  <c r="AC107" i="12" s="1"/>
  <c r="O108" i="14" l="1"/>
  <c r="U108" i="14" s="1"/>
  <c r="V108" i="14" s="1"/>
  <c r="AA108" i="14" s="1"/>
  <c r="M108" i="12"/>
  <c r="T108" i="12" s="1"/>
  <c r="J108" i="12"/>
  <c r="G108" i="12"/>
  <c r="W108" i="14"/>
  <c r="Y108" i="14" s="1"/>
  <c r="AD108" i="14"/>
  <c r="AF108" i="14" s="1"/>
  <c r="F109" i="14"/>
  <c r="E109" i="14"/>
  <c r="D109" i="14"/>
  <c r="B109" i="14"/>
  <c r="G109" i="14" s="1"/>
  <c r="P108" i="12" a="1"/>
  <c r="P108" i="12" s="1"/>
  <c r="AH107" i="12"/>
  <c r="U107" i="12"/>
  <c r="V107" i="12" s="1"/>
  <c r="AA107" i="12" s="1"/>
  <c r="C108" i="12"/>
  <c r="AD107" i="12"/>
  <c r="AF107" i="12" s="1"/>
  <c r="W107" i="12"/>
  <c r="Y107" i="12" s="1"/>
  <c r="AE107" i="12"/>
  <c r="N108" i="12"/>
  <c r="O108" i="12" s="1"/>
  <c r="I108" i="12"/>
  <c r="K108" i="12" s="1"/>
  <c r="R108" i="12"/>
  <c r="S108" i="12"/>
  <c r="H108" i="12"/>
  <c r="A109" i="12"/>
  <c r="AB108" i="14" l="1"/>
  <c r="AE108" i="14" s="1"/>
  <c r="AG108" i="14" s="1"/>
  <c r="M109" i="14"/>
  <c r="T109" i="14" s="1"/>
  <c r="L108" i="12"/>
  <c r="W108" i="12" s="1"/>
  <c r="Y108" i="12" s="1"/>
  <c r="C109" i="14"/>
  <c r="P109" i="14" a="1"/>
  <c r="P109" i="14" s="1"/>
  <c r="J109" i="14"/>
  <c r="X108" i="14"/>
  <c r="Z108" i="14" s="1"/>
  <c r="I109" i="14"/>
  <c r="K109" i="14" s="1"/>
  <c r="S109" i="14"/>
  <c r="R109" i="14"/>
  <c r="H109" i="14"/>
  <c r="Q109" i="14" a="1"/>
  <c r="Q109" i="14" s="1"/>
  <c r="A110" i="14"/>
  <c r="N109" i="14"/>
  <c r="O109" i="14" s="1"/>
  <c r="X107" i="12"/>
  <c r="Z107" i="12" s="1"/>
  <c r="AG107" i="12"/>
  <c r="U108" i="12"/>
  <c r="V108" i="12" s="1"/>
  <c r="AA108" i="12" s="1"/>
  <c r="AD108" i="12"/>
  <c r="AF108" i="12" s="1"/>
  <c r="AB108" i="12"/>
  <c r="AC108" i="12" s="1"/>
  <c r="AH108" i="12" s="1"/>
  <c r="B109" i="12"/>
  <c r="Q109" i="12" s="1" a="1"/>
  <c r="Q109" i="12" s="1"/>
  <c r="F109" i="12"/>
  <c r="D109" i="12"/>
  <c r="E109" i="12"/>
  <c r="AC108" i="14" l="1"/>
  <c r="AH108" i="14" s="1"/>
  <c r="M109" i="12"/>
  <c r="T109" i="12" s="1"/>
  <c r="I109" i="12"/>
  <c r="L109" i="14"/>
  <c r="AD109" i="14" s="1"/>
  <c r="AF109" i="14" s="1"/>
  <c r="AB109" i="14"/>
  <c r="AC109" i="14" s="1"/>
  <c r="F110" i="14"/>
  <c r="N110" i="14" s="1"/>
  <c r="E110" i="14"/>
  <c r="D110" i="14"/>
  <c r="B110" i="14"/>
  <c r="C110" i="14" s="1"/>
  <c r="U109" i="14"/>
  <c r="P109" i="12" a="1"/>
  <c r="P109" i="12" s="1"/>
  <c r="X108" i="12"/>
  <c r="Z108" i="12" s="1"/>
  <c r="C109" i="12"/>
  <c r="AE108" i="12"/>
  <c r="AG108" i="12" s="1"/>
  <c r="N109" i="12"/>
  <c r="O109" i="12" s="1"/>
  <c r="S109" i="12"/>
  <c r="R109" i="12"/>
  <c r="H109" i="12"/>
  <c r="A110" i="12"/>
  <c r="J109" i="12"/>
  <c r="G109" i="12"/>
  <c r="AH109" i="14" l="1"/>
  <c r="M110" i="14"/>
  <c r="O110" i="14" s="1"/>
  <c r="K109" i="12"/>
  <c r="J110" i="14"/>
  <c r="W109" i="14"/>
  <c r="Y109" i="14" s="1"/>
  <c r="P110" i="14" a="1"/>
  <c r="P110" i="14" s="1"/>
  <c r="G110" i="14"/>
  <c r="AE109" i="14"/>
  <c r="AG109" i="14" s="1"/>
  <c r="I110" i="14"/>
  <c r="K110" i="14" s="1"/>
  <c r="S110" i="14"/>
  <c r="R110" i="14"/>
  <c r="V109" i="14"/>
  <c r="AA109" i="14" s="1"/>
  <c r="X109" i="14"/>
  <c r="H110" i="14"/>
  <c r="Q110" i="14" a="1"/>
  <c r="Q110" i="14" s="1"/>
  <c r="A111" i="14"/>
  <c r="U109" i="12"/>
  <c r="V109" i="12" s="1"/>
  <c r="AA109" i="12" s="1"/>
  <c r="AB109" i="12"/>
  <c r="AC109" i="12" s="1"/>
  <c r="AH109" i="12" s="1"/>
  <c r="L109" i="12"/>
  <c r="B110" i="12"/>
  <c r="Q110" i="12" s="1" a="1"/>
  <c r="Q110" i="12" s="1"/>
  <c r="E110" i="12"/>
  <c r="I110" i="12" s="1"/>
  <c r="D110" i="12"/>
  <c r="F110" i="12"/>
  <c r="U110" i="14" l="1"/>
  <c r="V110" i="14" s="1"/>
  <c r="AA110" i="14" s="1"/>
  <c r="L110" i="14"/>
  <c r="AB110" i="14"/>
  <c r="AE110" i="14" s="1"/>
  <c r="M110" i="12"/>
  <c r="T110" i="12" s="1"/>
  <c r="Z109" i="14"/>
  <c r="T110" i="14"/>
  <c r="W110" i="14" s="1"/>
  <c r="Y110" i="14" s="1"/>
  <c r="G110" i="12"/>
  <c r="K110" i="12" s="1"/>
  <c r="F111" i="14"/>
  <c r="E111" i="14"/>
  <c r="J111" i="14" s="1"/>
  <c r="D111" i="14"/>
  <c r="B111" i="14"/>
  <c r="G111" i="14" s="1"/>
  <c r="AE109" i="12"/>
  <c r="P110" i="12" a="1"/>
  <c r="P110" i="12" s="1"/>
  <c r="X109" i="12"/>
  <c r="AD109" i="12"/>
  <c r="AF109" i="12" s="1"/>
  <c r="W109" i="12"/>
  <c r="Y109" i="12" s="1"/>
  <c r="C110" i="12"/>
  <c r="J110" i="12"/>
  <c r="N110" i="12"/>
  <c r="O110" i="12" s="1"/>
  <c r="R110" i="12"/>
  <c r="S110" i="12"/>
  <c r="H110" i="12"/>
  <c r="A111" i="12"/>
  <c r="AC110" i="14" l="1"/>
  <c r="AH110" i="14" s="1"/>
  <c r="AD110" i="14"/>
  <c r="AF110" i="14" s="1"/>
  <c r="AG110" i="14" s="1"/>
  <c r="X110" i="14"/>
  <c r="Z110" i="14" s="1"/>
  <c r="M111" i="14"/>
  <c r="T111" i="14" s="1"/>
  <c r="P111" i="14" a="1"/>
  <c r="P111" i="14" s="1"/>
  <c r="AB110" i="12"/>
  <c r="AC110" i="12" s="1"/>
  <c r="AH110" i="12" s="1"/>
  <c r="AG109" i="12"/>
  <c r="S111" i="14"/>
  <c r="R111" i="14"/>
  <c r="I111" i="14"/>
  <c r="K111" i="14" s="1"/>
  <c r="H111" i="14"/>
  <c r="L111" i="14" s="1"/>
  <c r="Q111" i="14" a="1"/>
  <c r="Q111" i="14" s="1"/>
  <c r="A112" i="14"/>
  <c r="C111" i="14"/>
  <c r="N111" i="14"/>
  <c r="O111" i="14" s="1"/>
  <c r="Z109" i="12"/>
  <c r="U110" i="12"/>
  <c r="L110" i="12"/>
  <c r="E111" i="12"/>
  <c r="I111" i="12" s="1"/>
  <c r="B111" i="12"/>
  <c r="Q111" i="12" s="1" a="1"/>
  <c r="Q111" i="12" s="1"/>
  <c r="F111" i="12"/>
  <c r="D111" i="12"/>
  <c r="M111" i="12" l="1"/>
  <c r="T111" i="12" s="1"/>
  <c r="AE110" i="12"/>
  <c r="AB111" i="14"/>
  <c r="AC111" i="14" s="1"/>
  <c r="AH111" i="14" s="1"/>
  <c r="W111" i="14"/>
  <c r="Y111" i="14" s="1"/>
  <c r="AD111" i="14"/>
  <c r="AF111" i="14" s="1"/>
  <c r="U111" i="14"/>
  <c r="F112" i="14"/>
  <c r="E112" i="14"/>
  <c r="D112" i="14"/>
  <c r="B112" i="14"/>
  <c r="C112" i="14" s="1"/>
  <c r="P111" i="12" a="1"/>
  <c r="P111" i="12" s="1"/>
  <c r="AD110" i="12"/>
  <c r="AF110" i="12" s="1"/>
  <c r="AG110" i="12" s="1"/>
  <c r="W110" i="12"/>
  <c r="Y110" i="12" s="1"/>
  <c r="X110" i="12"/>
  <c r="V110" i="12"/>
  <c r="AA110" i="12" s="1"/>
  <c r="N111" i="12"/>
  <c r="O111" i="12" s="1"/>
  <c r="C111" i="12"/>
  <c r="J111" i="12"/>
  <c r="R111" i="12"/>
  <c r="S111" i="12"/>
  <c r="G111" i="12"/>
  <c r="K111" i="12" s="1"/>
  <c r="A112" i="12"/>
  <c r="H111" i="12"/>
  <c r="J112" i="14" l="1"/>
  <c r="M112" i="14"/>
  <c r="T112" i="14" s="1"/>
  <c r="P112" i="14" a="1"/>
  <c r="P112" i="14" s="1"/>
  <c r="G112" i="14"/>
  <c r="AE111" i="14"/>
  <c r="AG111" i="14" s="1"/>
  <c r="I112" i="14"/>
  <c r="K112" i="14" s="1"/>
  <c r="V111" i="14"/>
  <c r="AA111" i="14" s="1"/>
  <c r="X111" i="14"/>
  <c r="Z111" i="14" s="1"/>
  <c r="H112" i="14"/>
  <c r="L112" i="14" s="1"/>
  <c r="Q112" i="14" a="1"/>
  <c r="Q112" i="14" s="1"/>
  <c r="A113" i="14"/>
  <c r="N112" i="14"/>
  <c r="O112" i="14" s="1"/>
  <c r="S112" i="14"/>
  <c r="R112" i="14"/>
  <c r="U111" i="12"/>
  <c r="V111" i="12" s="1"/>
  <c r="AA111" i="12" s="1"/>
  <c r="Z110" i="12"/>
  <c r="AB111" i="12"/>
  <c r="L111" i="12"/>
  <c r="B112" i="12"/>
  <c r="Q112" i="12" s="1" a="1"/>
  <c r="Q112" i="12" s="1"/>
  <c r="D112" i="12"/>
  <c r="E112" i="12"/>
  <c r="J112" i="12" s="1"/>
  <c r="F112" i="12"/>
  <c r="M112" i="12" l="1"/>
  <c r="T112" i="12" s="1"/>
  <c r="G112" i="12"/>
  <c r="AB112" i="14"/>
  <c r="AC112" i="14" s="1"/>
  <c r="AH112" i="14" s="1"/>
  <c r="AD112" i="14"/>
  <c r="AF112" i="14" s="1"/>
  <c r="W112" i="14"/>
  <c r="Y112" i="14" s="1"/>
  <c r="U112" i="14"/>
  <c r="F113" i="14"/>
  <c r="E113" i="14"/>
  <c r="J113" i="14" s="1"/>
  <c r="D113" i="14"/>
  <c r="B113" i="14"/>
  <c r="C113" i="14" s="1"/>
  <c r="X111" i="12"/>
  <c r="P112" i="12" a="1"/>
  <c r="P112" i="12" s="1"/>
  <c r="C112" i="12"/>
  <c r="AD111" i="12"/>
  <c r="AF111" i="12" s="1"/>
  <c r="W111" i="12"/>
  <c r="Y111" i="12" s="1"/>
  <c r="AE111" i="12"/>
  <c r="AC111" i="12"/>
  <c r="AH111" i="12" s="1"/>
  <c r="R112" i="12"/>
  <c r="S112" i="12"/>
  <c r="A113" i="12"/>
  <c r="H112" i="12"/>
  <c r="L112" i="12" s="1"/>
  <c r="I112" i="12"/>
  <c r="K112" i="12" s="1"/>
  <c r="N112" i="12"/>
  <c r="O112" i="12" s="1"/>
  <c r="M113" i="14" l="1"/>
  <c r="T113" i="14" s="1"/>
  <c r="W112" i="12"/>
  <c r="Y112" i="12" s="1"/>
  <c r="AE112" i="14"/>
  <c r="AG112" i="14" s="1"/>
  <c r="Z111" i="12"/>
  <c r="P113" i="14" a="1"/>
  <c r="P113" i="14" s="1"/>
  <c r="G113" i="14"/>
  <c r="S113" i="14"/>
  <c r="R113" i="14"/>
  <c r="I113" i="14"/>
  <c r="K113" i="14" s="1"/>
  <c r="X112" i="14"/>
  <c r="Z112" i="14" s="1"/>
  <c r="V112" i="14"/>
  <c r="AA112" i="14" s="1"/>
  <c r="N113" i="14"/>
  <c r="O113" i="14" s="1"/>
  <c r="H113" i="14"/>
  <c r="L113" i="14" s="1"/>
  <c r="Q113" i="14" a="1"/>
  <c r="Q113" i="14" s="1"/>
  <c r="A114" i="14"/>
  <c r="AG111" i="12"/>
  <c r="U112" i="12"/>
  <c r="V112" i="12" s="1"/>
  <c r="AA112" i="12" s="1"/>
  <c r="AD112" i="12"/>
  <c r="AF112" i="12" s="1"/>
  <c r="AB112" i="12"/>
  <c r="B113" i="12"/>
  <c r="Q113" i="12" s="1" a="1"/>
  <c r="Q113" i="12" s="1"/>
  <c r="E113" i="12"/>
  <c r="I113" i="12" s="1"/>
  <c r="F113" i="12"/>
  <c r="D113" i="12"/>
  <c r="M113" i="12" l="1"/>
  <c r="T113" i="12" s="1"/>
  <c r="G113" i="12"/>
  <c r="K113" i="12" s="1"/>
  <c r="U113" i="14"/>
  <c r="X113" i="14" s="1"/>
  <c r="W113" i="14"/>
  <c r="Y113" i="14" s="1"/>
  <c r="AD113" i="14"/>
  <c r="AF113" i="14" s="1"/>
  <c r="AB113" i="14"/>
  <c r="F114" i="14"/>
  <c r="E114" i="14"/>
  <c r="J114" i="14" s="1"/>
  <c r="D114" i="14"/>
  <c r="B114" i="14"/>
  <c r="G114" i="14" s="1"/>
  <c r="P113" i="12" a="1"/>
  <c r="P113" i="12" s="1"/>
  <c r="X112" i="12"/>
  <c r="Z112" i="12" s="1"/>
  <c r="AC112" i="12"/>
  <c r="AH112" i="12" s="1"/>
  <c r="AE112" i="12"/>
  <c r="AG112" i="12" s="1"/>
  <c r="C113" i="12"/>
  <c r="J113" i="12"/>
  <c r="S113" i="12"/>
  <c r="R113" i="12"/>
  <c r="H113" i="12"/>
  <c r="A114" i="12"/>
  <c r="N113" i="12"/>
  <c r="O113" i="12" s="1"/>
  <c r="M114" i="14" l="1"/>
  <c r="T114" i="14" s="1"/>
  <c r="U113" i="12"/>
  <c r="V113" i="12" s="1"/>
  <c r="AA113" i="12" s="1"/>
  <c r="P114" i="14" a="1"/>
  <c r="P114" i="14" s="1"/>
  <c r="V113" i="14"/>
  <c r="AA113" i="14" s="1"/>
  <c r="I114" i="14"/>
  <c r="K114" i="14" s="1"/>
  <c r="AE113" i="14"/>
  <c r="AG113" i="14" s="1"/>
  <c r="AC113" i="14"/>
  <c r="AH113" i="14" s="1"/>
  <c r="S114" i="14"/>
  <c r="R114" i="14"/>
  <c r="H114" i="14"/>
  <c r="L114" i="14" s="1"/>
  <c r="Q114" i="14" a="1"/>
  <c r="Q114" i="14" s="1"/>
  <c r="A115" i="14"/>
  <c r="C114" i="14"/>
  <c r="N114" i="14"/>
  <c r="Z113" i="14"/>
  <c r="AB113" i="12"/>
  <c r="L113" i="12"/>
  <c r="F114" i="12"/>
  <c r="B114" i="12"/>
  <c r="Q114" i="12" s="1" a="1"/>
  <c r="Q114" i="12" s="1"/>
  <c r="E114" i="12"/>
  <c r="I114" i="12" s="1"/>
  <c r="D114" i="12"/>
  <c r="X113" i="12" l="1"/>
  <c r="O114" i="14"/>
  <c r="AB114" i="14" s="1"/>
  <c r="AC114" i="14" s="1"/>
  <c r="AH114" i="14" s="1"/>
  <c r="M114" i="12"/>
  <c r="T114" i="12" s="1"/>
  <c r="AD114" i="14"/>
  <c r="AF114" i="14" s="1"/>
  <c r="W114" i="14"/>
  <c r="Y114" i="14" s="1"/>
  <c r="F115" i="14"/>
  <c r="E115" i="14"/>
  <c r="D115" i="14"/>
  <c r="B115" i="14"/>
  <c r="C115" i="14" s="1"/>
  <c r="P114" i="12" a="1"/>
  <c r="P114" i="12" s="1"/>
  <c r="AD113" i="12"/>
  <c r="AF113" i="12" s="1"/>
  <c r="W113" i="12"/>
  <c r="Y113" i="12" s="1"/>
  <c r="Z113" i="12" s="1"/>
  <c r="AE113" i="12"/>
  <c r="AC113" i="12"/>
  <c r="AH113" i="12" s="1"/>
  <c r="G114" i="12"/>
  <c r="K114" i="12" s="1"/>
  <c r="C114" i="12"/>
  <c r="R114" i="12"/>
  <c r="S114" i="12"/>
  <c r="N114" i="12"/>
  <c r="O114" i="12" s="1"/>
  <c r="A115" i="12"/>
  <c r="H114" i="12"/>
  <c r="J114" i="12"/>
  <c r="U114" i="14" l="1"/>
  <c r="X114" i="14" s="1"/>
  <c r="Z114" i="14" s="1"/>
  <c r="M115" i="14"/>
  <c r="T115" i="14" s="1"/>
  <c r="J115" i="14"/>
  <c r="AE114" i="14"/>
  <c r="AG114" i="14" s="1"/>
  <c r="P115" i="14" a="1"/>
  <c r="P115" i="14" s="1"/>
  <c r="G115" i="14"/>
  <c r="I115" i="14"/>
  <c r="K115" i="14" s="1"/>
  <c r="H115" i="14"/>
  <c r="Q115" i="14" a="1"/>
  <c r="Q115" i="14" s="1"/>
  <c r="A116" i="14"/>
  <c r="U114" i="12"/>
  <c r="V114" i="12" s="1"/>
  <c r="AA114" i="12" s="1"/>
  <c r="N115" i="14"/>
  <c r="O115" i="14" s="1"/>
  <c r="S115" i="14"/>
  <c r="R115" i="14"/>
  <c r="AG113" i="12"/>
  <c r="AB114" i="12"/>
  <c r="AC114" i="12" s="1"/>
  <c r="AH114" i="12" s="1"/>
  <c r="B115" i="12"/>
  <c r="Q115" i="12" s="1" a="1"/>
  <c r="Q115" i="12" s="1"/>
  <c r="D115" i="12"/>
  <c r="E115" i="12"/>
  <c r="I115" i="12" s="1"/>
  <c r="F115" i="12"/>
  <c r="L114" i="12"/>
  <c r="L115" i="14" l="1"/>
  <c r="V114" i="14"/>
  <c r="AA114" i="14" s="1"/>
  <c r="M115" i="12"/>
  <c r="T115" i="12" s="1"/>
  <c r="AB115" i="14"/>
  <c r="AC115" i="14" s="1"/>
  <c r="AH115" i="14" s="1"/>
  <c r="W115" i="14"/>
  <c r="Y115" i="14" s="1"/>
  <c r="AD115" i="14"/>
  <c r="AF115" i="14" s="1"/>
  <c r="U115" i="14"/>
  <c r="F116" i="14"/>
  <c r="E116" i="14"/>
  <c r="D116" i="14"/>
  <c r="B116" i="14"/>
  <c r="G116" i="14" s="1"/>
  <c r="X114" i="12"/>
  <c r="P115" i="12" a="1"/>
  <c r="P115" i="12" s="1"/>
  <c r="W114" i="12"/>
  <c r="Y114" i="12" s="1"/>
  <c r="AD114" i="12"/>
  <c r="AF114" i="12" s="1"/>
  <c r="AE114" i="12"/>
  <c r="C115" i="12"/>
  <c r="H115" i="12"/>
  <c r="A116" i="12"/>
  <c r="B116" i="12" s="1"/>
  <c r="R115" i="12"/>
  <c r="S115" i="12"/>
  <c r="N115" i="12"/>
  <c r="O115" i="12" s="1"/>
  <c r="J115" i="12"/>
  <c r="G115" i="12"/>
  <c r="K115" i="12" s="1"/>
  <c r="J116" i="14" l="1"/>
  <c r="M116" i="14"/>
  <c r="T116" i="14" s="1"/>
  <c r="AE115" i="14"/>
  <c r="AG115" i="14" s="1"/>
  <c r="P116" i="14" a="1"/>
  <c r="P116" i="14" s="1"/>
  <c r="C116" i="14"/>
  <c r="Z114" i="12"/>
  <c r="S116" i="14"/>
  <c r="R116" i="14"/>
  <c r="I116" i="14"/>
  <c r="K116" i="14" s="1"/>
  <c r="V115" i="14"/>
  <c r="AA115" i="14" s="1"/>
  <c r="X115" i="14"/>
  <c r="Z115" i="14" s="1"/>
  <c r="H116" i="14"/>
  <c r="Q116" i="14" a="1"/>
  <c r="Q116" i="14" s="1"/>
  <c r="F41" i="14"/>
  <c r="F96" i="11" s="1"/>
  <c r="F51" i="14"/>
  <c r="F107" i="11" s="1"/>
  <c r="F52" i="14"/>
  <c r="F108" i="11" s="1"/>
  <c r="F40" i="14"/>
  <c r="F95" i="11" s="1"/>
  <c r="N116" i="14"/>
  <c r="O116" i="14" s="1"/>
  <c r="U115" i="12"/>
  <c r="V115" i="12" s="1"/>
  <c r="AA115" i="12" s="1"/>
  <c r="AG114" i="12"/>
  <c r="AB115" i="12"/>
  <c r="AC115" i="12" s="1"/>
  <c r="AH115" i="12" s="1"/>
  <c r="L115" i="12"/>
  <c r="F116" i="12"/>
  <c r="Q116" i="12" a="1"/>
  <c r="Q116" i="12" s="1"/>
  <c r="D116" i="12"/>
  <c r="E116" i="12"/>
  <c r="J116" i="12" s="1"/>
  <c r="L116" i="14" l="1"/>
  <c r="AD116" i="14" s="1"/>
  <c r="AF116" i="14" s="1"/>
  <c r="M116" i="12"/>
  <c r="T116" i="12" s="1"/>
  <c r="AB116" i="14"/>
  <c r="AC116" i="14" s="1"/>
  <c r="AH116" i="14" s="1"/>
  <c r="U116" i="14"/>
  <c r="F47" i="14"/>
  <c r="F103" i="11" s="1"/>
  <c r="F46" i="14"/>
  <c r="F102" i="11" s="1"/>
  <c r="X115" i="12"/>
  <c r="F53" i="14"/>
  <c r="F54" i="14"/>
  <c r="F112" i="11" s="1"/>
  <c r="F42" i="14"/>
  <c r="D44" i="14" s="1"/>
  <c r="E101" i="11" s="1"/>
  <c r="F43" i="14"/>
  <c r="F100" i="11" s="1"/>
  <c r="F57" i="14"/>
  <c r="F58" i="14"/>
  <c r="F115" i="11" s="1"/>
  <c r="P116" i="12" a="1"/>
  <c r="P116" i="12" s="1"/>
  <c r="AE115" i="12"/>
  <c r="W115" i="12"/>
  <c r="Y115" i="12" s="1"/>
  <c r="AD115" i="12"/>
  <c r="AF115" i="12" s="1"/>
  <c r="G116" i="12"/>
  <c r="C116" i="12"/>
  <c r="I116" i="12"/>
  <c r="H116" i="12"/>
  <c r="L116" i="12" s="1"/>
  <c r="N116" i="12"/>
  <c r="O116" i="12" s="1"/>
  <c r="R116" i="12"/>
  <c r="S116" i="12"/>
  <c r="D59" i="14" l="1"/>
  <c r="E116" i="11" s="1"/>
  <c r="F114" i="11"/>
  <c r="D55" i="14"/>
  <c r="E113" i="11" s="1"/>
  <c r="F111" i="11"/>
  <c r="D48" i="14"/>
  <c r="E104" i="11" s="1"/>
  <c r="F99" i="11"/>
  <c r="W116" i="14"/>
  <c r="Y116" i="14" s="1"/>
  <c r="K116" i="12"/>
  <c r="AD116" i="12"/>
  <c r="AF116" i="12" s="1"/>
  <c r="AE116" i="14"/>
  <c r="AG116" i="14" s="1"/>
  <c r="Z115" i="12"/>
  <c r="V116" i="14"/>
  <c r="AA116" i="14" s="1"/>
  <c r="X116" i="14"/>
  <c r="AG115" i="12"/>
  <c r="U116" i="12"/>
  <c r="V116" i="12" s="1"/>
  <c r="AA116" i="12" s="1"/>
  <c r="AB116" i="12"/>
  <c r="W116" i="12"/>
  <c r="Y116" i="12" s="1"/>
  <c r="Z116" i="14" l="1"/>
  <c r="X116" i="12"/>
  <c r="Z116" i="12" s="1"/>
  <c r="AE116" i="12"/>
  <c r="AG116" i="12" s="1"/>
  <c r="AC116" i="12"/>
  <c r="AH116" i="12" s="1"/>
  <c r="F52" i="12" s="1"/>
  <c r="F79" i="11" s="1"/>
  <c r="F57" i="12" l="1"/>
  <c r="F85" i="11" s="1"/>
  <c r="F58" i="12"/>
  <c r="F86" i="11" s="1"/>
  <c r="F51" i="12"/>
  <c r="F78" i="11" s="1"/>
  <c r="F40" i="12"/>
  <c r="F66" i="11" s="1"/>
  <c r="F41" i="12"/>
  <c r="F67" i="11" s="1"/>
  <c r="D59" i="12" l="1"/>
  <c r="E87" i="11" s="1"/>
  <c r="F53" i="12"/>
  <c r="F54" i="12"/>
  <c r="F83" i="11" s="1"/>
  <c r="F46" i="12"/>
  <c r="F47" i="12"/>
  <c r="F42" i="12"/>
  <c r="F43" i="12"/>
  <c r="F71" i="11" s="1"/>
  <c r="D55" i="12" l="1"/>
  <c r="E84" i="11" s="1"/>
  <c r="F82" i="11"/>
  <c r="F74" i="11"/>
  <c r="D48" i="12"/>
  <c r="E75" i="11" s="1"/>
  <c r="F73" i="11"/>
  <c r="D44" i="12"/>
  <c r="E72" i="11" s="1"/>
  <c r="F70"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Aminul Islam</author>
  </authors>
  <commentList>
    <comment ref="I37" authorId="0" shapeId="0" xr:uid="{17F6598C-B2BC-414A-8FEF-2CE6E842038A}">
      <text>
        <r>
          <rPr>
            <b/>
            <sz val="9"/>
            <color indexed="81"/>
            <rFont val="Tahoma"/>
            <family val="2"/>
          </rPr>
          <t>Aminul Islam:</t>
        </r>
        <r>
          <rPr>
            <sz val="9"/>
            <color indexed="81"/>
            <rFont val="Tahoma"/>
            <family val="2"/>
          </rPr>
          <t xml:space="preserve">
site specific, depnds on soil formation &amp; construction methods. Can be assumed, k/K</t>
        </r>
        <r>
          <rPr>
            <vertAlign val="subscript"/>
            <sz val="9"/>
            <color indexed="81"/>
            <rFont val="Tahoma"/>
            <family val="2"/>
          </rPr>
          <t>0</t>
        </r>
        <r>
          <rPr>
            <sz val="9"/>
            <color indexed="81"/>
            <rFont val="Tahoma"/>
            <family val="2"/>
          </rPr>
          <t>=1 for minimal side wall disturbance and minimal slurry used. K</t>
        </r>
        <r>
          <rPr>
            <vertAlign val="subscript"/>
            <sz val="9"/>
            <color indexed="81"/>
            <rFont val="Tahoma"/>
            <family val="2"/>
          </rPr>
          <t>0</t>
        </r>
        <r>
          <rPr>
            <sz val="9"/>
            <color indexed="81"/>
            <rFont val="Tahoma"/>
            <family val="2"/>
          </rPr>
          <t xml:space="preserve"> = 1-sinф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Aminul Islam</author>
  </authors>
  <commentList>
    <comment ref="N63" authorId="0" shapeId="0" xr:uid="{6E737848-76F2-4FC4-9B78-B875194DB1B7}">
      <text>
        <r>
          <rPr>
            <b/>
            <sz val="9"/>
            <color indexed="81"/>
            <rFont val="Tahoma"/>
            <family val="2"/>
          </rPr>
          <t>Aminul Islam:</t>
        </r>
        <r>
          <rPr>
            <sz val="9"/>
            <color indexed="81"/>
            <rFont val="Tahoma"/>
            <family val="2"/>
          </rPr>
          <t xml:space="preserve">
If not defined in the input sheet, it will just simply take k</t>
        </r>
        <r>
          <rPr>
            <vertAlign val="subscript"/>
            <sz val="9"/>
            <color indexed="81"/>
            <rFont val="Tahoma"/>
            <family val="2"/>
          </rPr>
          <t>0</t>
        </r>
        <r>
          <rPr>
            <sz val="9"/>
            <color indexed="81"/>
            <rFont val="Tahoma"/>
            <family val="2"/>
          </rPr>
          <t xml:space="preserve"> = 1- sinф considering K/k</t>
        </r>
        <r>
          <rPr>
            <vertAlign val="subscript"/>
            <sz val="9"/>
            <color indexed="81"/>
            <rFont val="Tahoma"/>
            <family val="2"/>
          </rPr>
          <t>0</t>
        </r>
        <r>
          <rPr>
            <sz val="9"/>
            <color indexed="81"/>
            <rFont val="Tahoma"/>
            <family val="2"/>
          </rPr>
          <t xml:space="preserve"> = 1.</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Aminul Islam</author>
  </authors>
  <commentList>
    <comment ref="N63" authorId="0" shapeId="0" xr:uid="{0C6B7FB5-80DD-47B9-96A2-73CC238A85CA}">
      <text>
        <r>
          <rPr>
            <b/>
            <sz val="9"/>
            <color indexed="81"/>
            <rFont val="Tahoma"/>
            <family val="2"/>
          </rPr>
          <t>Aminul Islam:</t>
        </r>
        <r>
          <rPr>
            <sz val="9"/>
            <color indexed="81"/>
            <rFont val="Tahoma"/>
            <family val="2"/>
          </rPr>
          <t xml:space="preserve">
If not defined in the input sheet, it will just simply take k</t>
        </r>
        <r>
          <rPr>
            <vertAlign val="subscript"/>
            <sz val="9"/>
            <color indexed="81"/>
            <rFont val="Tahoma"/>
            <family val="2"/>
          </rPr>
          <t>0</t>
        </r>
        <r>
          <rPr>
            <sz val="9"/>
            <color indexed="81"/>
            <rFont val="Tahoma"/>
            <family val="2"/>
          </rPr>
          <t xml:space="preserve"> = 1- sinф considering K/k</t>
        </r>
        <r>
          <rPr>
            <vertAlign val="subscript"/>
            <sz val="9"/>
            <color indexed="81"/>
            <rFont val="Tahoma"/>
            <family val="2"/>
          </rPr>
          <t>0</t>
        </r>
        <r>
          <rPr>
            <sz val="9"/>
            <color indexed="81"/>
            <rFont val="Tahoma"/>
            <family val="2"/>
          </rPr>
          <t xml:space="preserve"> = 1.</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<sst xmlns="http://schemas.openxmlformats.org/spreadsheetml/2006/main" count="420" uniqueCount="167">
  <si>
    <t>m</t>
  </si>
  <si>
    <t>L =</t>
  </si>
  <si>
    <t xml:space="preserve">Project:
</t>
  </si>
  <si>
    <t xml:space="preserve">Job Ref:
</t>
  </si>
  <si>
    <t>Example Project</t>
  </si>
  <si>
    <t>Eample Job No.</t>
  </si>
  <si>
    <t xml:space="preserve">Structure:
</t>
  </si>
  <si>
    <t>Sheet No/Rev:</t>
  </si>
  <si>
    <t>Phicon Ltd | Pentire House | 9 Beach Rd | Newquay | TR7 1ES</t>
  </si>
  <si>
    <t>Example Structure</t>
  </si>
  <si>
    <t xml:space="preserve">Client:
</t>
  </si>
  <si>
    <t xml:space="preserve">Calc by:
</t>
  </si>
  <si>
    <t>Date</t>
  </si>
  <si>
    <t>Check by:</t>
  </si>
  <si>
    <t>Example Client</t>
  </si>
  <si>
    <t>Example Engineer</t>
  </si>
  <si>
    <t>Example Checker</t>
  </si>
  <si>
    <t>REF</t>
  </si>
  <si>
    <t>CALCULATION</t>
  </si>
  <si>
    <t>OUTPUT</t>
  </si>
  <si>
    <t>1. Partial factors</t>
  </si>
  <si>
    <t>Permanent actions</t>
  </si>
  <si>
    <r>
      <rPr>
        <sz val="10"/>
        <color rgb="FF000000"/>
        <rFont val="Calibri"/>
        <family val="2"/>
        <scheme val="minor"/>
      </rPr>
      <t>γ</t>
    </r>
    <r>
      <rPr>
        <vertAlign val="subscript"/>
        <sz val="10"/>
        <color rgb="FF000000"/>
        <rFont val="Calibri"/>
        <family val="2"/>
        <scheme val="minor"/>
      </rPr>
      <t xml:space="preserve">G </t>
    </r>
    <r>
      <rPr>
        <sz val="10"/>
        <color rgb="FF000000"/>
        <rFont val="Calibri"/>
        <family val="2"/>
        <scheme val="minor"/>
      </rPr>
      <t>=</t>
    </r>
  </si>
  <si>
    <t>Variable actions</t>
  </si>
  <si>
    <r>
      <rPr>
        <sz val="10"/>
        <color rgb="FF000000"/>
        <rFont val="Calibri"/>
        <family val="2"/>
        <scheme val="minor"/>
      </rPr>
      <t>γ</t>
    </r>
    <r>
      <rPr>
        <vertAlign val="subscript"/>
        <sz val="10"/>
        <color rgb="FF000000"/>
        <rFont val="Calibri"/>
        <family val="2"/>
        <scheme val="minor"/>
      </rPr>
      <t xml:space="preserve">Q </t>
    </r>
    <r>
      <rPr>
        <sz val="10"/>
        <color rgb="FF000000"/>
        <rFont val="Calibri"/>
        <family val="2"/>
        <scheme val="minor"/>
      </rPr>
      <t>=</t>
    </r>
  </si>
  <si>
    <t>kN</t>
  </si>
  <si>
    <t>GEO Limit State</t>
  </si>
  <si>
    <t>Design Approach 1, Combination 1</t>
  </si>
  <si>
    <t>Load Case</t>
  </si>
  <si>
    <t>Pile Type</t>
  </si>
  <si>
    <t>D =</t>
  </si>
  <si>
    <t>Length of pile</t>
  </si>
  <si>
    <t>Diameter of pile</t>
  </si>
  <si>
    <t>Driven</t>
  </si>
  <si>
    <t>Applied vertical permanent load</t>
  </si>
  <si>
    <r>
      <t>V</t>
    </r>
    <r>
      <rPr>
        <vertAlign val="subscript"/>
        <sz val="10"/>
        <rFont val="Arial"/>
        <family val="2"/>
      </rPr>
      <t>p</t>
    </r>
    <r>
      <rPr>
        <sz val="10"/>
        <rFont val="Arial"/>
        <family val="2"/>
      </rPr>
      <t xml:space="preserve"> =</t>
    </r>
  </si>
  <si>
    <r>
      <t>V</t>
    </r>
    <r>
      <rPr>
        <vertAlign val="subscript"/>
        <sz val="10"/>
        <rFont val="Arial"/>
        <family val="2"/>
      </rPr>
      <t>v</t>
    </r>
    <r>
      <rPr>
        <sz val="10"/>
        <rFont val="Arial"/>
        <family val="2"/>
      </rPr>
      <t xml:space="preserve"> =</t>
    </r>
  </si>
  <si>
    <t>DA1-1 (R1)</t>
  </si>
  <si>
    <t>DA1-2 (R4)</t>
  </si>
  <si>
    <t>On pile resistances</t>
  </si>
  <si>
    <t>On unfavourable action effects</t>
  </si>
  <si>
    <t>Base resistance</t>
  </si>
  <si>
    <t>Design Approach 1, Combination 2</t>
  </si>
  <si>
    <t>Bored</t>
  </si>
  <si>
    <r>
      <t>Total, γ</t>
    </r>
    <r>
      <rPr>
        <vertAlign val="subscript"/>
        <sz val="10"/>
        <rFont val="Arial"/>
        <family val="2"/>
      </rPr>
      <t>t</t>
    </r>
  </si>
  <si>
    <r>
      <t>Shaft, γ</t>
    </r>
    <r>
      <rPr>
        <vertAlign val="subscript"/>
        <sz val="10"/>
        <rFont val="Arial"/>
        <family val="2"/>
      </rPr>
      <t>s</t>
    </r>
  </si>
  <si>
    <r>
      <t>Base, γ</t>
    </r>
    <r>
      <rPr>
        <vertAlign val="subscript"/>
        <sz val="10"/>
        <rFont val="Arial"/>
        <family val="2"/>
      </rPr>
      <t>b</t>
    </r>
  </si>
  <si>
    <t>Data Input</t>
  </si>
  <si>
    <t>2. Loads in action</t>
  </si>
  <si>
    <t>GWT =</t>
  </si>
  <si>
    <r>
      <t xml:space="preserve">Partial Factors on Resistance </t>
    </r>
    <r>
      <rPr>
        <sz val="8"/>
        <rFont val="Arial Narrow"/>
        <family val="2"/>
      </rPr>
      <t>(Table A.6 &amp; A.7, EN 1997−1:2004)</t>
    </r>
  </si>
  <si>
    <t>3. Characteristic material properties by layers</t>
  </si>
  <si>
    <t>Groundwater Table</t>
  </si>
  <si>
    <t>m_Elevation</t>
  </si>
  <si>
    <t>Existing Ground Level</t>
  </si>
  <si>
    <t>EGL =</t>
  </si>
  <si>
    <t>Excavation Level</t>
  </si>
  <si>
    <t>Undrained Cohesion (kPa)</t>
  </si>
  <si>
    <t>Layer surface</t>
  </si>
  <si>
    <t>Layer bottom</t>
  </si>
  <si>
    <t>Depth (m_Elevation)</t>
  </si>
  <si>
    <t>Coefficient of earth pressure</t>
  </si>
  <si>
    <t>1. Pile/ground geometry</t>
  </si>
  <si>
    <t>Unit Weight of Concrete</t>
  </si>
  <si>
    <r>
      <t>γ</t>
    </r>
    <r>
      <rPr>
        <vertAlign val="subscript"/>
        <sz val="10"/>
        <color rgb="FF000000"/>
        <rFont val="Arial"/>
        <family val="2"/>
      </rPr>
      <t xml:space="preserve">conc </t>
    </r>
    <r>
      <rPr>
        <sz val="10"/>
        <color rgb="FF000000"/>
        <rFont val="Arial"/>
        <family val="2"/>
      </rPr>
      <t>=</t>
    </r>
  </si>
  <si>
    <r>
      <t>kN/m</t>
    </r>
    <r>
      <rPr>
        <vertAlign val="superscript"/>
        <sz val="10"/>
        <rFont val="Arial"/>
        <family val="2"/>
      </rPr>
      <t>3</t>
    </r>
  </si>
  <si>
    <t>mm</t>
  </si>
  <si>
    <t>MG</t>
  </si>
  <si>
    <t>CLAY</t>
  </si>
  <si>
    <t>SAND</t>
  </si>
  <si>
    <t>kPa</t>
  </si>
  <si>
    <t>Formation
(Soil Type)</t>
  </si>
  <si>
    <t>Applied vertical variable load</t>
  </si>
  <si>
    <t>Pile embedded level =</t>
  </si>
  <si>
    <t>Exc=</t>
  </si>
  <si>
    <t>Dewatered after excavation=</t>
  </si>
  <si>
    <r>
      <t>Avg. unit weight of soil (kN/m</t>
    </r>
    <r>
      <rPr>
        <vertAlign val="superscript"/>
        <sz val="8"/>
        <rFont val="Arial Narrow"/>
        <family val="2"/>
      </rPr>
      <t>3</t>
    </r>
    <r>
      <rPr>
        <sz val="8"/>
        <rFont val="Arial Narrow"/>
        <family val="2"/>
      </rPr>
      <t>)</t>
    </r>
  </si>
  <si>
    <t>Undrained Shaer Strength, Cu (kPa)</t>
  </si>
  <si>
    <t>No</t>
  </si>
  <si>
    <t>Bearing Capacity Factor, Nc</t>
  </si>
  <si>
    <r>
      <t>f</t>
    </r>
    <r>
      <rPr>
        <vertAlign val="subscript"/>
        <sz val="10"/>
        <rFont val="Arial"/>
        <family val="2"/>
      </rPr>
      <t>b</t>
    </r>
    <r>
      <rPr>
        <sz val="10"/>
        <rFont val="Arial"/>
        <family val="2"/>
      </rPr>
      <t xml:space="preserve"> =</t>
    </r>
  </si>
  <si>
    <t>Bearing Capacity Factor, Nq</t>
  </si>
  <si>
    <t>Layer Depth (m_Elevation)</t>
  </si>
  <si>
    <t>Top</t>
  </si>
  <si>
    <t>Bottm</t>
  </si>
  <si>
    <t>At Mid Layer</t>
  </si>
  <si>
    <t>Unit base resistance limitation</t>
  </si>
  <si>
    <t>At Layer base</t>
  </si>
  <si>
    <t>Short Term Pile Capacity</t>
  </si>
  <si>
    <t>Long Term Pile Capacity</t>
  </si>
  <si>
    <r>
      <t>Tension, γ</t>
    </r>
    <r>
      <rPr>
        <vertAlign val="subscript"/>
        <sz val="10"/>
        <rFont val="Arial"/>
        <family val="2"/>
      </rPr>
      <t>s:t</t>
    </r>
  </si>
  <si>
    <t>Tension resistance</t>
  </si>
  <si>
    <t>Total compression resistance</t>
  </si>
  <si>
    <r>
      <t>γ</t>
    </r>
    <r>
      <rPr>
        <vertAlign val="subscript"/>
        <sz val="10"/>
        <rFont val="Arial"/>
        <family val="2"/>
      </rPr>
      <t>s:t</t>
    </r>
    <r>
      <rPr>
        <sz val="10"/>
        <rFont val="Arial"/>
        <family val="2"/>
      </rPr>
      <t xml:space="preserve"> =</t>
    </r>
  </si>
  <si>
    <r>
      <t>γ</t>
    </r>
    <r>
      <rPr>
        <vertAlign val="subscript"/>
        <sz val="10"/>
        <rFont val="Arial"/>
        <family val="2"/>
      </rPr>
      <t xml:space="preserve">t </t>
    </r>
    <r>
      <rPr>
        <sz val="10"/>
        <rFont val="Arial"/>
        <family val="2"/>
      </rPr>
      <t>=</t>
    </r>
  </si>
  <si>
    <t>Pile embedded Depth =</t>
  </si>
  <si>
    <t>Coefficient of shearing resistance</t>
  </si>
  <si>
    <r>
      <rPr>
        <sz val="10"/>
        <color rgb="FF000000"/>
        <rFont val="Calibri"/>
        <family val="2"/>
        <scheme val="minor"/>
      </rPr>
      <t>γ</t>
    </r>
    <r>
      <rPr>
        <vertAlign val="subscript"/>
        <sz val="10"/>
        <color rgb="FF000000"/>
        <rFont val="Calibri"/>
        <family val="2"/>
        <scheme val="minor"/>
      </rPr>
      <t xml:space="preserve">φ </t>
    </r>
    <r>
      <rPr>
        <sz val="10"/>
        <color rgb="FF000000"/>
        <rFont val="Calibri"/>
        <family val="2"/>
        <scheme val="minor"/>
      </rPr>
      <t>=</t>
    </r>
  </si>
  <si>
    <t>Effective cohesion</t>
  </si>
  <si>
    <r>
      <rPr>
        <sz val="10"/>
        <color rgb="FF000000"/>
        <rFont val="Calibri"/>
        <family val="2"/>
        <scheme val="minor"/>
      </rPr>
      <t>γ</t>
    </r>
    <r>
      <rPr>
        <vertAlign val="subscript"/>
        <sz val="10"/>
        <color rgb="FF000000"/>
        <rFont val="Calibri"/>
        <family val="2"/>
        <scheme val="minor"/>
      </rPr>
      <t xml:space="preserve">c </t>
    </r>
    <r>
      <rPr>
        <sz val="10"/>
        <color rgb="FF000000"/>
        <rFont val="Calibri"/>
        <family val="2"/>
        <scheme val="minor"/>
      </rPr>
      <t>=</t>
    </r>
  </si>
  <si>
    <t>Weight density</t>
  </si>
  <si>
    <r>
      <rPr>
        <sz val="10"/>
        <color rgb="FF000000"/>
        <rFont val="Calibri"/>
        <family val="2"/>
        <scheme val="minor"/>
      </rPr>
      <t>γ</t>
    </r>
    <r>
      <rPr>
        <vertAlign val="subscript"/>
        <sz val="10"/>
        <color rgb="FF000000"/>
        <rFont val="Calibri"/>
        <family val="2"/>
        <scheme val="minor"/>
      </rPr>
      <t xml:space="preserve">γ </t>
    </r>
    <r>
      <rPr>
        <sz val="10"/>
        <color rgb="FF000000"/>
        <rFont val="Calibri"/>
        <family val="2"/>
        <scheme val="minor"/>
      </rPr>
      <t>=</t>
    </r>
  </si>
  <si>
    <t>On material properties</t>
  </si>
  <si>
    <t>Pore Water Pressure, u (kPa)</t>
  </si>
  <si>
    <t>Coefficient of Horizontal Earth Pressure, Ks</t>
  </si>
  <si>
    <t>Coefficient for Overburden Pressure, β</t>
  </si>
  <si>
    <t>Unit shaft resistance limitation</t>
  </si>
  <si>
    <r>
      <t>f</t>
    </r>
    <r>
      <rPr>
        <vertAlign val="subscript"/>
        <sz val="10"/>
        <rFont val="Arial"/>
        <family val="2"/>
      </rPr>
      <t>s</t>
    </r>
    <r>
      <rPr>
        <sz val="10"/>
        <rFont val="Arial"/>
        <family val="2"/>
      </rPr>
      <t xml:space="preserve"> =</t>
    </r>
  </si>
  <si>
    <r>
      <t>f</t>
    </r>
    <r>
      <rPr>
        <vertAlign val="subscript"/>
        <sz val="10"/>
        <rFont val="Arial"/>
        <family val="2"/>
      </rPr>
      <t>s:t</t>
    </r>
    <r>
      <rPr>
        <sz val="10"/>
        <rFont val="Arial"/>
        <family val="2"/>
      </rPr>
      <t xml:space="preserve"> =</t>
    </r>
  </si>
  <si>
    <t>Unit uplift resistance limitation</t>
  </si>
  <si>
    <t>Weight of Pile (kN)</t>
  </si>
  <si>
    <r>
      <t>Unit Weight of Soil, γ (kN/m</t>
    </r>
    <r>
      <rPr>
        <vertAlign val="superscript"/>
        <sz val="10"/>
        <rFont val="Arial Narrow"/>
        <family val="2"/>
      </rPr>
      <t>3</t>
    </r>
    <r>
      <rPr>
        <sz val="10"/>
        <rFont val="Arial Narrow"/>
        <family val="2"/>
      </rPr>
      <t>)</t>
    </r>
  </si>
  <si>
    <r>
      <t xml:space="preserve">Effective Friction angle, </t>
    </r>
    <r>
      <rPr>
        <sz val="10"/>
        <rFont val="Calibri"/>
        <family val="2"/>
      </rPr>
      <t>ф</t>
    </r>
    <r>
      <rPr>
        <sz val="10"/>
        <rFont val="Arial Narrow"/>
        <family val="2"/>
      </rPr>
      <t>' (°)</t>
    </r>
  </si>
  <si>
    <r>
      <t>Total Vertical Stress, σ</t>
    </r>
    <r>
      <rPr>
        <vertAlign val="subscript"/>
        <sz val="10"/>
        <rFont val="Arial Narrow"/>
        <family val="2"/>
      </rPr>
      <t>v</t>
    </r>
    <r>
      <rPr>
        <sz val="10"/>
        <rFont val="Arial Narrow"/>
        <family val="2"/>
      </rPr>
      <t xml:space="preserve"> (kPa)</t>
    </r>
  </si>
  <si>
    <r>
      <t xml:space="preserve">Soil-Pile Interface Friction Angle, </t>
    </r>
    <r>
      <rPr>
        <sz val="10"/>
        <rFont val="Calibri"/>
        <family val="2"/>
      </rPr>
      <t>δ</t>
    </r>
    <r>
      <rPr>
        <sz val="10"/>
        <rFont val="Arial Narrow"/>
        <family val="2"/>
      </rPr>
      <t xml:space="preserve"> (°)</t>
    </r>
  </si>
  <si>
    <r>
      <t xml:space="preserve">Adhesion Factor, </t>
    </r>
    <r>
      <rPr>
        <sz val="10"/>
        <rFont val="Calibri"/>
        <family val="2"/>
      </rPr>
      <t>α</t>
    </r>
  </si>
  <si>
    <r>
      <t>Unit Shaft Resistance (Compression), f</t>
    </r>
    <r>
      <rPr>
        <vertAlign val="subscript"/>
        <sz val="10"/>
        <rFont val="Arial Narrow"/>
        <family val="2"/>
      </rPr>
      <t>s</t>
    </r>
    <r>
      <rPr>
        <sz val="10"/>
        <rFont val="Arial Narrow"/>
        <family val="2"/>
      </rPr>
      <t xml:space="preserve"> (kPa)</t>
    </r>
  </si>
  <si>
    <r>
      <t>Unit Shaft Resistance (Uplift), f</t>
    </r>
    <r>
      <rPr>
        <vertAlign val="subscript"/>
        <sz val="10"/>
        <rFont val="Arial Narrow"/>
        <family val="2"/>
      </rPr>
      <t>s:t</t>
    </r>
    <r>
      <rPr>
        <sz val="10"/>
        <rFont val="Arial Narrow"/>
        <family val="2"/>
      </rPr>
      <t xml:space="preserve"> (kPa)</t>
    </r>
  </si>
  <si>
    <r>
      <t>Unit Base Resistance, f</t>
    </r>
    <r>
      <rPr>
        <vertAlign val="subscript"/>
        <sz val="10"/>
        <rFont val="Arial Narrow"/>
        <family val="2"/>
      </rPr>
      <t>b</t>
    </r>
    <r>
      <rPr>
        <sz val="10"/>
        <rFont val="Arial Narrow"/>
        <family val="2"/>
      </rPr>
      <t xml:space="preserve"> (kPa)</t>
    </r>
  </si>
  <si>
    <r>
      <t>Total Shaft Resistance, R</t>
    </r>
    <r>
      <rPr>
        <vertAlign val="subscript"/>
        <sz val="10"/>
        <rFont val="Arial Narrow"/>
        <family val="2"/>
      </rPr>
      <t>s</t>
    </r>
    <r>
      <rPr>
        <sz val="10"/>
        <rFont val="Arial Narrow"/>
        <family val="2"/>
      </rPr>
      <t xml:space="preserve"> (kN)</t>
    </r>
  </si>
  <si>
    <r>
      <t>Total Base Resistance, R</t>
    </r>
    <r>
      <rPr>
        <vertAlign val="subscript"/>
        <sz val="10"/>
        <rFont val="Arial Narrow"/>
        <family val="2"/>
      </rPr>
      <t>b</t>
    </r>
    <r>
      <rPr>
        <sz val="10"/>
        <rFont val="Arial Narrow"/>
        <family val="2"/>
      </rPr>
      <t xml:space="preserve"> (kN)</t>
    </r>
  </si>
  <si>
    <r>
      <t>Total Compression Resistance, R</t>
    </r>
    <r>
      <rPr>
        <vertAlign val="subscript"/>
        <sz val="10"/>
        <rFont val="Arial Narrow"/>
        <family val="2"/>
      </rPr>
      <t>t</t>
    </r>
    <r>
      <rPr>
        <sz val="10"/>
        <rFont val="Arial Narrow"/>
        <family val="2"/>
      </rPr>
      <t xml:space="preserve"> (kN)</t>
    </r>
  </si>
  <si>
    <r>
      <t>Total Uplift Resistance, R</t>
    </r>
    <r>
      <rPr>
        <vertAlign val="subscript"/>
        <sz val="10"/>
        <rFont val="Arial Narrow"/>
        <family val="2"/>
      </rPr>
      <t>s:t</t>
    </r>
  </si>
  <si>
    <r>
      <t>Effective Vertical Stress, σ'</t>
    </r>
    <r>
      <rPr>
        <vertAlign val="subscript"/>
        <sz val="10"/>
        <rFont val="Arial Narrow"/>
        <family val="2"/>
      </rPr>
      <t>v</t>
    </r>
    <r>
      <rPr>
        <sz val="10"/>
        <rFont val="Arial Narrow"/>
        <family val="2"/>
      </rPr>
      <t xml:space="preserve"> (kPa)</t>
    </r>
  </si>
  <si>
    <r>
      <rPr>
        <sz val="10"/>
        <color rgb="FF000000"/>
        <rFont val="Calibri"/>
        <family val="2"/>
        <scheme val="minor"/>
      </rPr>
      <t>γ</t>
    </r>
    <r>
      <rPr>
        <vertAlign val="subscript"/>
        <sz val="10"/>
        <color rgb="FF000000"/>
        <rFont val="Calibri"/>
        <family val="2"/>
        <scheme val="minor"/>
      </rPr>
      <t xml:space="preserve">cu </t>
    </r>
    <r>
      <rPr>
        <sz val="10"/>
        <color rgb="FF000000"/>
        <rFont val="Calibri"/>
        <family val="2"/>
        <scheme val="minor"/>
      </rPr>
      <t>=</t>
    </r>
  </si>
  <si>
    <t>Undrained cohesion</t>
  </si>
  <si>
    <r>
      <t>γ</t>
    </r>
    <r>
      <rPr>
        <vertAlign val="subscript"/>
        <sz val="10"/>
        <rFont val="Arial"/>
        <family val="2"/>
      </rPr>
      <t>b</t>
    </r>
    <r>
      <rPr>
        <sz val="10"/>
        <rFont val="Arial"/>
        <family val="2"/>
      </rPr>
      <t xml:space="preserve"> =</t>
    </r>
  </si>
  <si>
    <r>
      <t>γ</t>
    </r>
    <r>
      <rPr>
        <vertAlign val="subscript"/>
        <sz val="10"/>
        <rFont val="Arial"/>
        <family val="2"/>
      </rPr>
      <t>s</t>
    </r>
    <r>
      <rPr>
        <sz val="10"/>
        <rFont val="Arial"/>
        <family val="2"/>
      </rPr>
      <t xml:space="preserve"> =</t>
    </r>
  </si>
  <si>
    <t>Shaft Resistance</t>
  </si>
  <si>
    <r>
      <t>R</t>
    </r>
    <r>
      <rPr>
        <vertAlign val="subscript"/>
        <sz val="10"/>
        <color rgb="FF000000"/>
        <rFont val="Calibri"/>
        <family val="2"/>
        <scheme val="minor"/>
      </rPr>
      <t>t</t>
    </r>
    <r>
      <rPr>
        <sz val="10"/>
        <color rgb="FF000000"/>
        <rFont val="Calibri"/>
        <family val="2"/>
        <scheme val="minor"/>
      </rPr>
      <t>=</t>
    </r>
  </si>
  <si>
    <r>
      <t>R</t>
    </r>
    <r>
      <rPr>
        <vertAlign val="subscript"/>
        <sz val="10"/>
        <color rgb="FF000000"/>
        <rFont val="Calibri"/>
        <family val="2"/>
        <scheme val="minor"/>
      </rPr>
      <t>s:t</t>
    </r>
    <r>
      <rPr>
        <sz val="10"/>
        <color rgb="FF000000"/>
        <rFont val="Calibri"/>
        <family val="2"/>
        <scheme val="minor"/>
      </rPr>
      <t>=</t>
    </r>
  </si>
  <si>
    <t>Total uplift resistance</t>
  </si>
  <si>
    <t>Short term pile capacity</t>
  </si>
  <si>
    <t>Long term pile capacity</t>
  </si>
  <si>
    <t>2. Design action</t>
  </si>
  <si>
    <t>3. Calculated load capacity</t>
  </si>
  <si>
    <t>Maximum uplift load</t>
  </si>
  <si>
    <r>
      <t>F</t>
    </r>
    <r>
      <rPr>
        <vertAlign val="subscript"/>
        <sz val="10"/>
        <rFont val="Arial"/>
        <family val="2"/>
      </rPr>
      <t>up</t>
    </r>
    <r>
      <rPr>
        <sz val="10"/>
        <rFont val="Arial"/>
        <family val="2"/>
      </rPr>
      <t xml:space="preserve"> =</t>
    </r>
  </si>
  <si>
    <t>Total applied compression load</t>
  </si>
  <si>
    <t>Total applied uplift load</t>
  </si>
  <si>
    <r>
      <t>V</t>
    </r>
    <r>
      <rPr>
        <vertAlign val="subscript"/>
        <sz val="10"/>
        <rFont val="Arial"/>
        <family val="2"/>
      </rPr>
      <t>up</t>
    </r>
    <r>
      <rPr>
        <sz val="10"/>
        <rFont val="Arial"/>
        <family val="2"/>
      </rPr>
      <t xml:space="preserve"> =</t>
    </r>
  </si>
  <si>
    <r>
      <t>Γ</t>
    </r>
    <r>
      <rPr>
        <vertAlign val="subscript"/>
        <sz val="10"/>
        <rFont val="Arial"/>
        <family val="2"/>
      </rPr>
      <t>c</t>
    </r>
    <r>
      <rPr>
        <sz val="10"/>
        <rFont val="Arial"/>
        <family val="2"/>
      </rPr>
      <t xml:space="preserve"> =</t>
    </r>
  </si>
  <si>
    <r>
      <t>Λ</t>
    </r>
    <r>
      <rPr>
        <vertAlign val="subscript"/>
        <sz val="10"/>
        <rFont val="Arial"/>
        <family val="2"/>
      </rPr>
      <t>c</t>
    </r>
    <r>
      <rPr>
        <sz val="10"/>
        <rFont val="Arial"/>
        <family val="2"/>
      </rPr>
      <t xml:space="preserve"> =</t>
    </r>
  </si>
  <si>
    <r>
      <t>Γ</t>
    </r>
    <r>
      <rPr>
        <vertAlign val="subscript"/>
        <sz val="10"/>
        <rFont val="Arial"/>
        <family val="2"/>
      </rPr>
      <t>t</t>
    </r>
    <r>
      <rPr>
        <sz val="10"/>
        <rFont val="Arial"/>
        <family val="2"/>
      </rPr>
      <t xml:space="preserve"> =</t>
    </r>
  </si>
  <si>
    <r>
      <t>Λ</t>
    </r>
    <r>
      <rPr>
        <vertAlign val="subscript"/>
        <sz val="10"/>
        <rFont val="Arial"/>
        <family val="2"/>
      </rPr>
      <t>t</t>
    </r>
    <r>
      <rPr>
        <sz val="10"/>
        <rFont val="Arial"/>
        <family val="2"/>
      </rPr>
      <t xml:space="preserve"> =</t>
    </r>
  </si>
  <si>
    <t>Overdesign factor for uplift resistance</t>
  </si>
  <si>
    <t>Proportion of available uplift resistance used</t>
  </si>
  <si>
    <t>This spreadsheet evaluates the vertical load-bearing capacity of a single pile in accordance with the Eurocode 7 Ultimate Limit State (ULS) approach. It can analyze bored piles/drilled shaft for both short and long term capacity. The analysis verifies Ground Failure (GEO) using partial factors on actions and soil resistance. Pile capacity is determined from the combined contribution of shaft friction and end bearing based on the soil profile and pile geometry, ensuring compliance with Eurocode 7 design principles.</t>
  </si>
  <si>
    <t>PILE FOUNDATION: BEARING CAPACITY OF BORED PILE/DRILLED SHAFT</t>
  </si>
  <si>
    <t>Bored Pile/Drilled shaft</t>
  </si>
  <si>
    <t>4. Detailed Calculation</t>
  </si>
  <si>
    <t>4. Limiting pile capacity</t>
  </si>
  <si>
    <t>5. Result of the analysis</t>
  </si>
  <si>
    <t>Design compressive resistance</t>
  </si>
  <si>
    <t>Design uplift resistance</t>
  </si>
  <si>
    <t>Design compressive actions</t>
  </si>
  <si>
    <t>Design uplift actions</t>
  </si>
  <si>
    <r>
      <t>R</t>
    </r>
    <r>
      <rPr>
        <vertAlign val="subscript"/>
        <sz val="10"/>
        <rFont val="Arial"/>
        <family val="2"/>
      </rPr>
      <t>d;c</t>
    </r>
    <r>
      <rPr>
        <sz val="10"/>
        <rFont val="Arial"/>
        <family val="2"/>
      </rPr>
      <t xml:space="preserve"> =</t>
    </r>
  </si>
  <si>
    <r>
      <t>R</t>
    </r>
    <r>
      <rPr>
        <vertAlign val="subscript"/>
        <sz val="10"/>
        <rFont val="Arial"/>
        <family val="2"/>
      </rPr>
      <t>d;up</t>
    </r>
    <r>
      <rPr>
        <sz val="10"/>
        <rFont val="Arial"/>
        <family val="2"/>
      </rPr>
      <t xml:space="preserve"> =</t>
    </r>
  </si>
  <si>
    <r>
      <t>E</t>
    </r>
    <r>
      <rPr>
        <vertAlign val="subscript"/>
        <sz val="10"/>
        <rFont val="Arial"/>
        <family val="2"/>
      </rPr>
      <t>d;c</t>
    </r>
    <r>
      <rPr>
        <sz val="10"/>
        <rFont val="Arial"/>
        <family val="2"/>
      </rPr>
      <t xml:space="preserve"> =</t>
    </r>
  </si>
  <si>
    <r>
      <t>E</t>
    </r>
    <r>
      <rPr>
        <vertAlign val="subscript"/>
        <sz val="10"/>
        <rFont val="Arial"/>
        <family val="2"/>
      </rPr>
      <t>d;up</t>
    </r>
    <r>
      <rPr>
        <sz val="10"/>
        <rFont val="Arial"/>
        <family val="2"/>
      </rPr>
      <t xml:space="preserve"> =</t>
    </r>
  </si>
  <si>
    <t>Safety factors</t>
  </si>
  <si>
    <t>Overdesign factor for comp. resistance</t>
  </si>
  <si>
    <t>Proportion of available comp. resistance used</t>
  </si>
  <si>
    <r>
      <t>V</t>
    </r>
    <r>
      <rPr>
        <vertAlign val="subscript"/>
        <sz val="10"/>
        <rFont val="Arial"/>
        <family val="2"/>
      </rPr>
      <t>c</t>
    </r>
    <r>
      <rPr>
        <sz val="10"/>
        <rFont val="Arial"/>
        <family val="2"/>
      </rPr>
      <t xml:space="preserve"> =</t>
    </r>
  </si>
  <si>
    <t>Proportion of available comp.resistance used</t>
  </si>
  <si>
    <t>Avg. Effective Friction angle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</si>
</sst>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47" x14ac:knownFonts="1">
    <font>
      <sz val="10"/>
      <name val="Arial"/>
    </font>
    <font>
      <sz val="12"/>
      <color theme="1"/>
      <name val="Calibri"/>
      <family val="2"/>
      <scheme val="minor"/>
    </font>
    <font>
      <sz val="12"/>
      <color theme="1"/>
      <name val="Calibri"/>
      <family val="2"/>
      <scheme val="minor"/>
    </font>
    <font>
      <sz val="8"/>
      <name val="Arial"/>
      <family val="2"/>
    </font>
    <font>
      <b/>
      <sz val="10"/>
      <name val="Arial"/>
      <family val="2"/>
    </font>
    <font>
      <sz val="9"/>
      <name val="Verdana"/>
      <family val="2"/>
    </font>
    <font>
      <sz val="9"/>
      <color indexed="10"/>
      <name val="Arial"/>
      <family val="2"/>
    </font>
    <font>
      <sz val="10"/>
      <color indexed="10"/>
      <name val="Arial"/>
      <family val="2"/>
    </font>
    <font>
      <b/>
      <i/>
      <sz val="10"/>
      <name val="Arial"/>
      <family val="2"/>
    </font>
    <font>
      <u/>
      <sz val="7.5"/>
      <color indexed="12"/>
      <name val="Arial"/>
      <family val="2"/>
    </font>
    <font>
      <sz val="11"/>
      <color rgb="FF3F3F76"/>
      <name val="Calibri"/>
      <family val="2"/>
      <scheme val="minor"/>
    </font>
    <font>
      <b/>
      <sz val="8"/>
      <name val="Arial"/>
      <family val="2"/>
    </font>
    <font>
      <sz val="10"/>
      <color rgb="FF000000"/>
      <name val="Calibri"/>
      <family val="2"/>
      <scheme val="minor"/>
    </font>
    <font>
      <sz val="8"/>
      <name val="Arial"/>
      <family val="2"/>
    </font>
    <font>
      <sz val="8"/>
      <color theme="1"/>
      <name val="Roboto"/>
    </font>
    <font>
      <sz val="8"/>
      <color theme="1"/>
      <name val="Calibri"/>
      <family val="2"/>
      <scheme val="minor"/>
    </font>
    <font>
      <sz val="10"/>
      <name val="Arial"/>
      <family val="2"/>
    </font>
    <font>
      <b/>
      <sz val="10"/>
      <color rgb="FF0000FF"/>
      <name val="Arial"/>
      <family val="2"/>
    </font>
    <font>
      <sz val="10"/>
      <color rgb="FF0000FF"/>
      <name val="Arial"/>
      <family val="2"/>
    </font>
    <font>
      <vertAlign val="subscript"/>
      <sz val="10"/>
      <name val="Arial"/>
      <family val="2"/>
    </font>
    <font>
      <vertAlign val="superscript"/>
      <sz val="10"/>
      <name val="Arial"/>
      <family val="2"/>
    </font>
    <font>
      <b/>
      <sz val="10"/>
      <color theme="1"/>
      <name val="Arial"/>
      <family val="2"/>
    </font>
    <font>
      <b/>
      <sz val="10"/>
      <color rgb="FF000000"/>
      <name val="Calibri"/>
      <family val="2"/>
      <scheme val="minor"/>
    </font>
    <font>
      <sz val="10"/>
      <name val="Calibri"/>
      <family val="2"/>
      <scheme val="minor"/>
    </font>
    <font>
      <sz val="8"/>
      <name val="Roboto"/>
    </font>
    <font>
      <sz val="8"/>
      <name val="Calibri"/>
      <family val="2"/>
      <scheme val="minor"/>
    </font>
    <font>
      <vertAlign val="subscript"/>
      <sz val="10"/>
      <color rgb="FF000000"/>
      <name val="Calibri"/>
      <family val="2"/>
      <scheme val="minor"/>
    </font>
    <font>
      <sz val="10"/>
      <color theme="0"/>
      <name val="Arial"/>
      <family val="2"/>
    </font>
    <font>
      <b/>
      <i/>
      <sz val="10"/>
      <color theme="0"/>
      <name val="Arial"/>
      <family val="2"/>
    </font>
    <font>
      <sz val="10"/>
      <name val="Arial Narrow"/>
      <family val="2"/>
    </font>
    <font>
      <b/>
      <u/>
      <sz val="10"/>
      <name val="Arial"/>
      <family val="2"/>
    </font>
    <font>
      <b/>
      <i/>
      <sz val="9"/>
      <name val="Arial"/>
      <family val="2"/>
    </font>
    <font>
      <sz val="8"/>
      <name val="Arial"/>
    </font>
    <font>
      <sz val="10"/>
      <name val="Calibri"/>
      <family val="2"/>
    </font>
    <font>
      <sz val="8"/>
      <name val="Arial Narrow"/>
      <family val="2"/>
    </font>
    <font>
      <vertAlign val="superscript"/>
      <sz val="8"/>
      <name val="Arial Narrow"/>
      <family val="2"/>
    </font>
    <font>
      <sz val="10"/>
      <color rgb="FF000000"/>
      <name val="Arial"/>
      <family val="2"/>
    </font>
    <font>
      <vertAlign val="subscript"/>
      <sz val="10"/>
      <color rgb="FF000000"/>
      <name val="Arial"/>
      <family val="2"/>
    </font>
    <font>
      <sz val="9"/>
      <color indexed="81"/>
      <name val="Tahoma"/>
      <family val="2"/>
    </font>
    <font>
      <b/>
      <sz val="9"/>
      <color indexed="81"/>
      <name val="Tahoma"/>
      <family val="2"/>
    </font>
    <font>
      <vertAlign val="subscript"/>
      <sz val="9"/>
      <color indexed="81"/>
      <name val="Tahoma"/>
      <family val="2"/>
    </font>
    <font>
      <i/>
      <sz val="9"/>
      <name val="Arial"/>
      <family val="2"/>
    </font>
    <font>
      <vertAlign val="superscript"/>
      <sz val="10"/>
      <name val="Arial Narrow"/>
      <family val="2"/>
    </font>
    <font>
      <vertAlign val="subscript"/>
      <sz val="10"/>
      <name val="Arial Narrow"/>
      <family val="2"/>
    </font>
    <font>
      <u/>
      <sz val="10"/>
      <name val="Arial"/>
      <family val="2"/>
    </font>
    <font>
      <i/>
      <sz val="10"/>
      <name val="Arial"/>
      <family val="2"/>
    </font>
    <font>
      <sz val="9.5"/>
      <name val="Arial"/>
      <family val="2"/>
    </font>
  </fonts>
  <fills count="5">
    <fill>
      <patternFill patternType="none"/>
    </fill>
    <fill>
      <patternFill patternType="gray125"/>
    </fill>
    <fill>
      <patternFill patternType="solid">
        <fgColor rgb="FFFFCC99"/>
      </patternFill>
    </fill>
    <fill>
      <patternFill patternType="solid">
        <fgColor theme="8" tint="0.79998168889431442"/>
        <bgColor indexed="64"/>
      </patternFill>
    </fill>
    <fill>
      <patternFill patternType="solid">
        <fgColor rgb="FFFFCC99"/>
        <bgColor indexed="64"/>
      </patternFill>
    </fill>
  </fills>
  <borders count="17">
    <border>
      <left/>
      <right/>
      <top/>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hair">
        <color theme="0" tint="-4.9989318521683403E-2"/>
      </left>
      <right/>
      <top style="hair">
        <color theme="0" tint="-4.9989318521683403E-2"/>
      </top>
      <bottom/>
      <diagonal/>
    </border>
    <border>
      <left/>
      <right style="hair">
        <color theme="0" tint="-4.9989318521683403E-2"/>
      </right>
      <top style="hair">
        <color theme="0" tint="-4.9989318521683403E-2"/>
      </top>
      <bottom/>
      <diagonal/>
    </border>
    <border>
      <left style="thin">
        <color auto="1"/>
      </left>
      <right style="thin">
        <color auto="1"/>
      </right>
      <top/>
      <bottom/>
      <diagonal/>
    </border>
  </borders>
  <cellStyleXfs count="8">
    <xf numFmtId="0" fontId="0" fillId="0" borderId="0"/>
    <xf numFmtId="0" fontId="2" fillId="0" borderId="0"/>
    <xf numFmtId="0" fontId="9" fillId="0" borderId="0" applyNumberFormat="0" applyFill="0" applyBorder="0" applyAlignment="0" applyProtection="0">
      <alignment vertical="top"/>
      <protection locked="0"/>
    </xf>
    <xf numFmtId="0" fontId="1" fillId="0" borderId="0"/>
    <xf numFmtId="0" fontId="10" fillId="2" borderId="1" applyNumberFormat="0" applyAlignment="0" applyProtection="0"/>
    <xf numFmtId="0" fontId="16" fillId="0" borderId="0"/>
    <xf numFmtId="0" fontId="1" fillId="0" borderId="0"/>
    <xf numFmtId="9" fontId="16" fillId="0" borderId="0" applyFont="0" applyFill="0" applyBorder="0" applyAlignment="0" applyProtection="0"/>
  </cellStyleXfs>
  <cellXfs count="117">
    <xf numFmtId="0" fontId="0" fillId="0" borderId="0" xfId="0"/>
    <xf numFmtId="0" fontId="11" fillId="0" borderId="10" xfId="0" applyFont="1" applyBorder="1" applyAlignment="1">
      <alignment vertical="top"/>
    </xf>
    <xf numFmtId="14" fontId="11" fillId="0" borderId="10" xfId="0" applyNumberFormat="1" applyFont="1" applyBorder="1" applyAlignment="1">
      <alignment vertical="top"/>
    </xf>
    <xf numFmtId="0" fontId="16" fillId="0" borderId="0" xfId="0" applyFont="1" applyAlignment="1">
      <alignment horizontal="right" vertical="center"/>
    </xf>
    <xf numFmtId="0" fontId="16" fillId="0" borderId="0" xfId="0" applyFont="1" applyAlignment="1">
      <alignment horizontal="left" vertical="center"/>
    </xf>
    <xf numFmtId="2" fontId="10" fillId="2" borderId="1" xfId="4" applyNumberFormat="1" applyAlignment="1" applyProtection="1">
      <alignment horizontal="right" vertical="center"/>
      <protection locked="0"/>
    </xf>
    <xf numFmtId="0" fontId="16" fillId="0" borderId="0" xfId="0" applyFont="1" applyAlignment="1">
      <alignment horizontal="center" vertical="center"/>
    </xf>
    <xf numFmtId="0" fontId="4" fillId="0" borderId="0" xfId="0" applyFont="1" applyAlignment="1">
      <alignment vertical="center"/>
    </xf>
    <xf numFmtId="0" fontId="16" fillId="0" borderId="0" xfId="0" applyFont="1" applyAlignment="1">
      <alignment vertical="center"/>
    </xf>
    <xf numFmtId="0" fontId="21" fillId="0" borderId="0" xfId="0" applyFont="1" applyAlignment="1">
      <alignment vertical="center"/>
    </xf>
    <xf numFmtId="2" fontId="10" fillId="2" borderId="1" xfId="4" applyNumberFormat="1" applyAlignment="1" applyProtection="1">
      <alignment vertical="center"/>
      <protection locked="0"/>
    </xf>
    <xf numFmtId="2" fontId="16" fillId="0" borderId="0" xfId="0" applyNumberFormat="1" applyFont="1" applyAlignment="1" applyProtection="1">
      <alignment vertical="center"/>
      <protection locked="0"/>
    </xf>
    <xf numFmtId="0" fontId="0" fillId="0" borderId="0" xfId="0" applyAlignment="1">
      <alignment vertical="center"/>
    </xf>
    <xf numFmtId="0" fontId="0" fillId="0" borderId="0" xfId="0" applyAlignment="1">
      <alignment horizontal="right" vertical="center"/>
    </xf>
    <xf numFmtId="0" fontId="12" fillId="0" borderId="0" xfId="0" applyFont="1" applyAlignment="1">
      <alignment vertical="center"/>
    </xf>
    <xf numFmtId="0" fontId="13" fillId="0" borderId="7" xfId="0" applyFont="1" applyBorder="1" applyAlignment="1">
      <alignment vertical="center"/>
    </xf>
    <xf numFmtId="0" fontId="13" fillId="0" borderId="8" xfId="0" applyFont="1" applyBorder="1" applyAlignment="1">
      <alignment vertical="center"/>
    </xf>
    <xf numFmtId="0" fontId="13" fillId="0" borderId="9" xfId="0" applyFont="1" applyBorder="1" applyAlignment="1">
      <alignment vertical="center"/>
    </xf>
    <xf numFmtId="0" fontId="13" fillId="0" borderId="7" xfId="0" applyFont="1" applyBorder="1" applyAlignment="1">
      <alignment horizontal="left" vertical="center"/>
    </xf>
    <xf numFmtId="14" fontId="13" fillId="0" borderId="11" xfId="0" applyNumberFormat="1" applyFont="1" applyBorder="1" applyAlignment="1">
      <alignment horizontal="left" vertical="center"/>
    </xf>
    <xf numFmtId="0" fontId="13" fillId="0" borderId="2" xfId="0" applyFont="1" applyBorder="1" applyAlignment="1">
      <alignment horizontal="center" vertical="center"/>
    </xf>
    <xf numFmtId="0" fontId="13" fillId="0" borderId="11" xfId="0" applyFont="1" applyBorder="1" applyAlignment="1">
      <alignment horizontal="center" vertical="center"/>
    </xf>
    <xf numFmtId="0" fontId="17" fillId="0" borderId="0" xfId="0" applyFont="1" applyAlignment="1">
      <alignment vertical="center"/>
    </xf>
    <xf numFmtId="0" fontId="18" fillId="0" borderId="0" xfId="0" applyFont="1" applyAlignment="1">
      <alignment vertical="center"/>
    </xf>
    <xf numFmtId="0" fontId="8" fillId="0" borderId="0" xfId="0" applyFont="1" applyAlignment="1">
      <alignment vertical="center"/>
    </xf>
    <xf numFmtId="0" fontId="5" fillId="0" borderId="0" xfId="0" applyFont="1" applyAlignment="1">
      <alignment vertical="center"/>
    </xf>
    <xf numFmtId="2" fontId="7" fillId="0" borderId="0" xfId="0" applyNumberFormat="1" applyFont="1" applyAlignment="1">
      <alignment horizontal="center" vertical="center"/>
    </xf>
    <xf numFmtId="0" fontId="5" fillId="0" borderId="0" xfId="0" applyFont="1" applyAlignment="1">
      <alignment horizontal="center" vertical="center"/>
    </xf>
    <xf numFmtId="2" fontId="6" fillId="0" borderId="0" xfId="0" applyNumberFormat="1" applyFont="1" applyAlignment="1" applyProtection="1">
      <alignment horizontal="center" vertical="center"/>
      <protection locked="0"/>
    </xf>
    <xf numFmtId="0" fontId="22" fillId="0" borderId="0" xfId="0" applyFont="1" applyAlignment="1">
      <alignment vertical="center"/>
    </xf>
    <xf numFmtId="0" fontId="10" fillId="2" borderId="1" xfId="4" applyAlignment="1">
      <alignment vertical="center"/>
    </xf>
    <xf numFmtId="2" fontId="16" fillId="0" borderId="0" xfId="0" applyNumberFormat="1" applyFont="1" applyAlignment="1">
      <alignment vertical="center"/>
    </xf>
    <xf numFmtId="0" fontId="16" fillId="0" borderId="0" xfId="0" applyFont="1" applyAlignment="1">
      <alignment horizontal="right"/>
    </xf>
    <xf numFmtId="0" fontId="12" fillId="0" borderId="0" xfId="0" applyFont="1" applyAlignment="1">
      <alignment horizontal="right" vertical="center"/>
    </xf>
    <xf numFmtId="0" fontId="4" fillId="0" borderId="0" xfId="0" applyFont="1" applyAlignment="1">
      <alignment horizontal="left" vertical="center"/>
    </xf>
    <xf numFmtId="0" fontId="27" fillId="0" borderId="0" xfId="0" applyFont="1" applyAlignment="1">
      <alignment vertical="center"/>
    </xf>
    <xf numFmtId="0" fontId="28" fillId="0" borderId="0" xfId="0" applyFont="1" applyAlignment="1">
      <alignment vertical="center"/>
    </xf>
    <xf numFmtId="2" fontId="10" fillId="2" borderId="1" xfId="4" applyNumberFormat="1" applyAlignment="1" applyProtection="1">
      <alignment horizontal="right" vertical="center"/>
    </xf>
    <xf numFmtId="0" fontId="30" fillId="0" borderId="0" xfId="0" applyFont="1" applyAlignment="1">
      <alignment horizontal="center" vertical="center"/>
    </xf>
    <xf numFmtId="0" fontId="31" fillId="0" borderId="0" xfId="0" applyFont="1" applyAlignment="1">
      <alignment vertical="center"/>
    </xf>
    <xf numFmtId="0" fontId="0" fillId="0" borderId="2" xfId="0" applyBorder="1" applyAlignment="1">
      <alignment horizontal="center" vertical="center"/>
    </xf>
    <xf numFmtId="0" fontId="16" fillId="0" borderId="2" xfId="0" applyFont="1" applyBorder="1" applyAlignment="1">
      <alignment horizontal="center" vertical="center"/>
    </xf>
    <xf numFmtId="0" fontId="11" fillId="0" borderId="0" xfId="0" applyFont="1" applyAlignment="1">
      <alignment horizontal="left" vertical="top" wrapText="1"/>
    </xf>
    <xf numFmtId="0" fontId="13" fillId="0" borderId="0" xfId="0" applyFont="1" applyAlignment="1">
      <alignment vertical="center"/>
    </xf>
    <xf numFmtId="0" fontId="11" fillId="0" borderId="0" xfId="0" applyFont="1" applyAlignment="1">
      <alignment horizontal="left" vertical="top"/>
    </xf>
    <xf numFmtId="14" fontId="11" fillId="0" borderId="0" xfId="0" applyNumberFormat="1" applyFont="1" applyAlignment="1">
      <alignment vertical="top"/>
    </xf>
    <xf numFmtId="14" fontId="13" fillId="0" borderId="0" xfId="0" applyNumberFormat="1" applyFont="1" applyAlignment="1">
      <alignment horizontal="left" vertical="center"/>
    </xf>
    <xf numFmtId="0" fontId="13" fillId="0" borderId="0" xfId="0" applyFont="1" applyAlignment="1">
      <alignment horizontal="center" vertical="center"/>
    </xf>
    <xf numFmtId="2" fontId="10" fillId="2" borderId="1" xfId="4" applyNumberFormat="1" applyAlignment="1" applyProtection="1">
      <alignment horizontal="center" vertical="center"/>
      <protection locked="0"/>
    </xf>
    <xf numFmtId="0" fontId="29" fillId="0" borderId="2" xfId="0" applyFont="1" applyBorder="1" applyAlignment="1">
      <alignment horizontal="center" vertical="center"/>
    </xf>
    <xf numFmtId="0" fontId="16" fillId="0" borderId="0" xfId="0" applyFont="1" applyAlignment="1">
      <alignment vertical="center" wrapText="1"/>
    </xf>
    <xf numFmtId="0" fontId="29" fillId="0" borderId="0" xfId="0" applyFont="1" applyAlignment="1">
      <alignment horizontal="center" vertical="center"/>
    </xf>
    <xf numFmtId="0" fontId="0" fillId="0" borderId="0" xfId="0" applyAlignment="1">
      <alignment horizontal="center" vertical="center"/>
    </xf>
    <xf numFmtId="0" fontId="10" fillId="2" borderId="1" xfId="4" applyAlignment="1">
      <alignment horizontal="center" vertical="center"/>
    </xf>
    <xf numFmtId="0" fontId="30" fillId="0" borderId="0" xfId="0" applyFont="1" applyAlignment="1">
      <alignment vertical="center"/>
    </xf>
    <xf numFmtId="2" fontId="0" fillId="0" borderId="0" xfId="0" applyNumberFormat="1"/>
    <xf numFmtId="0" fontId="0" fillId="0" borderId="0" xfId="0" applyAlignment="1">
      <alignment horizontal="center"/>
    </xf>
    <xf numFmtId="2" fontId="0" fillId="0" borderId="0" xfId="0" applyNumberFormat="1" applyAlignment="1">
      <alignment vertical="center"/>
    </xf>
    <xf numFmtId="0" fontId="31" fillId="0" borderId="14" xfId="0" applyFont="1" applyBorder="1" applyAlignment="1">
      <alignment horizontal="left" vertical="center"/>
    </xf>
    <xf numFmtId="0" fontId="0" fillId="0" borderId="15" xfId="0" applyBorder="1" applyAlignment="1">
      <alignment vertical="center"/>
    </xf>
    <xf numFmtId="0" fontId="36" fillId="0" borderId="0" xfId="0" applyFont="1" applyAlignment="1">
      <alignment horizontal="right" vertical="center"/>
    </xf>
    <xf numFmtId="2" fontId="10" fillId="2" borderId="1" xfId="4" applyNumberFormat="1" applyAlignment="1" applyProtection="1">
      <alignment horizontal="center" vertical="center"/>
    </xf>
    <xf numFmtId="1" fontId="0" fillId="0" borderId="0" xfId="0" applyNumberFormat="1" applyAlignment="1">
      <alignment vertical="center"/>
    </xf>
    <xf numFmtId="2" fontId="16" fillId="0" borderId="0" xfId="0" applyNumberFormat="1" applyFont="1" applyAlignment="1">
      <alignment horizontal="center" vertical="center"/>
    </xf>
    <xf numFmtId="0" fontId="16" fillId="0" borderId="0" xfId="0" applyFont="1" applyAlignment="1">
      <alignment horizontal="center"/>
    </xf>
    <xf numFmtId="0" fontId="34" fillId="3" borderId="2" xfId="0" applyFont="1" applyFill="1" applyBorder="1" applyAlignment="1">
      <alignment horizontal="center" vertical="center"/>
    </xf>
    <xf numFmtId="0" fontId="16" fillId="0" borderId="0" xfId="0" applyFont="1" applyAlignment="1">
      <alignment horizontal="center" wrapText="1"/>
    </xf>
    <xf numFmtId="0" fontId="34" fillId="3" borderId="10" xfId="0" applyFont="1" applyFill="1" applyBorder="1" applyAlignment="1">
      <alignment horizontal="center" vertical="center" wrapText="1"/>
    </xf>
    <xf numFmtId="0" fontId="0" fillId="0" borderId="0" xfId="0" applyAlignment="1">
      <alignment horizontal="right"/>
    </xf>
    <xf numFmtId="0" fontId="10" fillId="2" borderId="1" xfId="4" applyAlignment="1">
      <alignment horizontal="right"/>
    </xf>
    <xf numFmtId="0" fontId="41" fillId="0" borderId="0" xfId="0" applyFont="1" applyAlignment="1">
      <alignment vertical="center"/>
    </xf>
    <xf numFmtId="0" fontId="34" fillId="3" borderId="16" xfId="0" applyFont="1" applyFill="1" applyBorder="1" applyAlignment="1">
      <alignment horizontal="center" vertical="center" wrapText="1"/>
    </xf>
    <xf numFmtId="0" fontId="34" fillId="3" borderId="3" xfId="0" applyFont="1" applyFill="1" applyBorder="1" applyAlignment="1">
      <alignment vertical="center"/>
    </xf>
    <xf numFmtId="0" fontId="34" fillId="3" borderId="12" xfId="0" applyFont="1" applyFill="1" applyBorder="1" applyAlignment="1">
      <alignment vertical="center"/>
    </xf>
    <xf numFmtId="0" fontId="29" fillId="4" borderId="2" xfId="0" applyFont="1" applyFill="1" applyBorder="1" applyAlignment="1">
      <alignment horizontal="center" vertical="center" wrapText="1"/>
    </xf>
    <xf numFmtId="0" fontId="12" fillId="0" borderId="0" xfId="0" applyFont="1" applyAlignment="1">
      <alignment horizontal="right"/>
    </xf>
    <xf numFmtId="0" fontId="10" fillId="2" borderId="1" xfId="4" applyAlignment="1">
      <alignment horizontal="right" vertical="center"/>
    </xf>
    <xf numFmtId="10" fontId="0" fillId="0" borderId="0" xfId="0" applyNumberFormat="1"/>
    <xf numFmtId="0" fontId="11" fillId="0" borderId="0" xfId="0" applyFont="1" applyAlignment="1">
      <alignment vertical="top" wrapText="1"/>
    </xf>
    <xf numFmtId="0" fontId="23" fillId="0" borderId="0" xfId="0" applyFont="1" applyAlignment="1">
      <alignment vertical="center"/>
    </xf>
    <xf numFmtId="0" fontId="11" fillId="0" borderId="0" xfId="0" applyFont="1" applyAlignment="1">
      <alignment vertical="top"/>
    </xf>
    <xf numFmtId="0" fontId="13" fillId="0" borderId="0" xfId="0" applyFont="1" applyAlignment="1">
      <alignment horizontal="left" vertical="center"/>
    </xf>
    <xf numFmtId="0" fontId="44" fillId="0" borderId="0" xfId="0" applyFont="1" applyAlignment="1">
      <alignment vertical="center"/>
    </xf>
    <xf numFmtId="0" fontId="34" fillId="3" borderId="16" xfId="0" applyFont="1" applyFill="1" applyBorder="1" applyAlignment="1">
      <alignment horizontal="center" vertical="center" textRotation="90" wrapText="1"/>
    </xf>
    <xf numFmtId="2" fontId="16" fillId="0" borderId="2" xfId="0" applyNumberFormat="1" applyFont="1" applyBorder="1" applyAlignment="1">
      <alignment horizontal="center" vertical="center"/>
    </xf>
    <xf numFmtId="0" fontId="45" fillId="0" borderId="0" xfId="0" applyFont="1" applyAlignment="1">
      <alignment vertical="center"/>
    </xf>
    <xf numFmtId="1" fontId="16" fillId="0" borderId="0" xfId="0" applyNumberFormat="1" applyFont="1" applyAlignment="1">
      <alignment vertical="center"/>
    </xf>
    <xf numFmtId="9" fontId="16" fillId="0" borderId="0" xfId="0" applyNumberFormat="1" applyFont="1" applyAlignment="1">
      <alignment vertical="center"/>
    </xf>
    <xf numFmtId="0" fontId="46" fillId="0" borderId="0" xfId="0" applyFont="1" applyAlignment="1">
      <alignment horizontal="right" vertical="center"/>
    </xf>
    <xf numFmtId="164" fontId="10" fillId="2" borderId="1" xfId="4" applyNumberFormat="1" applyAlignment="1" applyProtection="1">
      <alignment horizontal="center" vertical="center"/>
      <protection locked="0"/>
    </xf>
    <xf numFmtId="164" fontId="10" fillId="2" borderId="1" xfId="4" applyNumberFormat="1" applyAlignment="1" applyProtection="1">
      <alignment horizontal="center" vertical="center"/>
    </xf>
    <xf numFmtId="164" fontId="16" fillId="0" borderId="2" xfId="0" applyNumberFormat="1" applyFont="1" applyBorder="1" applyAlignment="1">
      <alignment horizontal="center" vertical="center"/>
    </xf>
    <xf numFmtId="0" fontId="34" fillId="3" borderId="10" xfId="0" applyFont="1" applyFill="1" applyBorder="1" applyAlignment="1">
      <alignment horizontal="center" vertical="center" wrapText="1"/>
    </xf>
    <xf numFmtId="0" fontId="34" fillId="3" borderId="11" xfId="0" applyFont="1" applyFill="1" applyBorder="1" applyAlignment="1">
      <alignment horizontal="center" vertical="center" wrapText="1"/>
    </xf>
    <xf numFmtId="0" fontId="16" fillId="0" borderId="0" xfId="0" applyFont="1" applyAlignment="1">
      <alignment horizontal="left" vertical="center" wrapText="1"/>
    </xf>
    <xf numFmtId="0" fontId="16" fillId="0" borderId="3" xfId="0" applyFont="1" applyBorder="1" applyAlignment="1">
      <alignment horizontal="center" vertical="center"/>
    </xf>
    <xf numFmtId="0" fontId="16" fillId="0" borderId="12" xfId="0" applyFont="1"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13" fillId="0" borderId="2" xfId="0" applyFont="1" applyBorder="1" applyAlignment="1">
      <alignment horizontal="center" vertical="center"/>
    </xf>
    <xf numFmtId="0" fontId="13" fillId="0" borderId="1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11" fillId="0" borderId="4" xfId="0" applyFont="1" applyBorder="1" applyAlignment="1">
      <alignment horizontal="left" vertical="top"/>
    </xf>
    <xf numFmtId="0" fontId="11" fillId="0" borderId="6" xfId="0" applyFont="1" applyBorder="1" applyAlignment="1">
      <alignment horizontal="left" vertical="top"/>
    </xf>
    <xf numFmtId="0" fontId="14"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29" fillId="4" borderId="2" xfId="0" applyFont="1" applyFill="1" applyBorder="1" applyAlignment="1">
      <alignment horizontal="center" vertical="center" wrapText="1"/>
    </xf>
    <xf numFmtId="0" fontId="29" fillId="4" borderId="2" xfId="0" applyFont="1" applyFill="1" applyBorder="1" applyAlignment="1">
      <alignment horizontal="center" vertical="center"/>
    </xf>
    <xf numFmtId="0" fontId="24" fillId="0" borderId="2"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16" fillId="0" borderId="2" xfId="0" applyFont="1" applyBorder="1" applyAlignment="1">
      <alignment horizontal="center" vertical="center"/>
    </xf>
  </cellXfs>
  <cellStyles count="8">
    <cellStyle name="Hyperlink 2" xfId="2" xr:uid="{00000000-0005-0000-0000-000000000000}"/>
    <cellStyle name="Input" xfId="4" builtinId="20"/>
    <cellStyle name="Normal" xfId="0" builtinId="0"/>
    <cellStyle name="Normal 2" xfId="1" xr:uid="{00000000-0005-0000-0000-000002000000}"/>
    <cellStyle name="Normal 2 2" xfId="6" xr:uid="{8C280D19-B726-4D16-8C75-C12663E30740}"/>
    <cellStyle name="Normal 3" xfId="3" xr:uid="{00000000-0005-0000-0000-000003000000}"/>
    <cellStyle name="Normal 4" xfId="5" xr:uid="{38EF4285-E670-45AA-8445-1B6CE619A6FD}"/>
    <cellStyle name="Percent 2" xfId="7" xr:uid="{9318B3B0-964A-483E-8FF4-E04251B131CC}"/>
  </cellStyles>
  <dxfs count="18">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9" defaultPivotStyle="PivotStyleMedium4"/>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85302</xdr:colOff>
      <xdr:row>0</xdr:row>
      <xdr:rowOff>28575</xdr:rowOff>
    </xdr:from>
    <xdr:to>
      <xdr:col>2</xdr:col>
      <xdr:colOff>393651</xdr:colOff>
      <xdr:row>2</xdr:row>
      <xdr:rowOff>160019</xdr:rowOff>
    </xdr:to>
    <xdr:pic>
      <xdr:nvPicPr>
        <xdr:cNvPr id="2" name="Picture 1">
          <a:extLst>
            <a:ext uri="{FF2B5EF4-FFF2-40B4-BE49-F238E27FC236}">
              <a16:creationId xmlns:a16="http://schemas.microsoft.com/office/drawing/2014/main" id="{84CB8817-0B5E-4699-9DD2-D3401EBC8B02}"/>
            </a:ext>
          </a:extLst>
        </xdr:cNvPr>
        <xdr:cNvPicPr>
          <a:picLocks noChangeAspect="1"/>
        </xdr:cNvPicPr>
      </xdr:nvPicPr>
      <xdr:blipFill>
        <a:blip xmlns:r="http://schemas.openxmlformats.org/officeDocument/2006/relationships" r:embed="rId1"/>
        <a:stretch>
          <a:fillRect/>
        </a:stretch>
      </xdr:blipFill>
      <xdr:spPr>
        <a:xfrm>
          <a:off x="85302" y="28575"/>
          <a:ext cx="1493846" cy="512444"/>
        </a:xfrm>
        <a:prstGeom prst="rect">
          <a:avLst/>
        </a:prstGeom>
      </xdr:spPr>
    </xdr:pic>
    <xdr:clientData/>
  </xdr:twoCellAnchor>
  <xdr:twoCellAnchor>
    <xdr:from>
      <xdr:col>26</xdr:col>
      <xdr:colOff>95250</xdr:colOff>
      <xdr:row>2</xdr:row>
      <xdr:rowOff>19050</xdr:rowOff>
    </xdr:from>
    <xdr:to>
      <xdr:col>28</xdr:col>
      <xdr:colOff>200026</xdr:colOff>
      <xdr:row>6</xdr:row>
      <xdr:rowOff>95250</xdr:rowOff>
    </xdr:to>
    <xdr:sp macro="" textlink="">
      <xdr:nvSpPr>
        <xdr:cNvPr id="3" name="TextBox 2">
          <a:extLst>
            <a:ext uri="{FF2B5EF4-FFF2-40B4-BE49-F238E27FC236}">
              <a16:creationId xmlns:a16="http://schemas.microsoft.com/office/drawing/2014/main" id="{96ED6A05-C3F5-F77D-3FD7-851E5BA46CA4}"/>
            </a:ext>
          </a:extLst>
        </xdr:cNvPr>
        <xdr:cNvSpPr txBox="1"/>
      </xdr:nvSpPr>
      <xdr:spPr>
        <a:xfrm>
          <a:off x="16278225" y="400050"/>
          <a:ext cx="1438276" cy="8382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u="sng">
              <a:latin typeface="Arial" panose="020B0604020202020204" pitchFamily="34" charset="0"/>
              <a:cs typeface="Arial" panose="020B0604020202020204" pitchFamily="34" charset="0"/>
            </a:rPr>
            <a:t>Used Load cases</a:t>
          </a:r>
        </a:p>
        <a:p>
          <a:pPr algn="ctr"/>
          <a:endParaRPr lang="en-US" sz="1100" u="sng">
            <a:latin typeface="Arial" panose="020B0604020202020204" pitchFamily="34" charset="0"/>
            <a:cs typeface="Arial" panose="020B0604020202020204" pitchFamily="34" charset="0"/>
          </a:endParaRPr>
        </a:p>
        <a:p>
          <a:pPr algn="ctr"/>
          <a:r>
            <a:rPr lang="en-US" sz="1100">
              <a:latin typeface="Arial" panose="020B0604020202020204" pitchFamily="34" charset="0"/>
              <a:cs typeface="Arial" panose="020B0604020202020204" pitchFamily="34" charset="0"/>
            </a:rPr>
            <a:t>DA1-1: A1+M1+R1</a:t>
          </a:r>
        </a:p>
        <a:p>
          <a:pPr marL="0" marR="0" lvl="0" indent="0" algn="ctr"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Arial" panose="020B0604020202020204" pitchFamily="34" charset="0"/>
              <a:ea typeface="+mn-ea"/>
              <a:cs typeface="Arial" panose="020B0604020202020204" pitchFamily="34" charset="0"/>
            </a:rPr>
            <a:t>DA1-2: A2+M1+R4</a:t>
          </a:r>
          <a:endParaRPr lang="en-US">
            <a:effectLst/>
            <a:latin typeface="Arial" panose="020B0604020202020204" pitchFamily="34" charset="0"/>
            <a:cs typeface="Arial" panose="020B0604020202020204" pitchFamily="34" charset="0"/>
          </a:endParaRPr>
        </a:p>
      </xdr:txBody>
    </xdr:sp>
    <xdr:clientData/>
  </xdr:twoCellAnchor>
  <xdr:twoCellAnchor>
    <xdr:from>
      <xdr:col>21</xdr:col>
      <xdr:colOff>14655</xdr:colOff>
      <xdr:row>10</xdr:row>
      <xdr:rowOff>0</xdr:rowOff>
    </xdr:from>
    <xdr:to>
      <xdr:col>36</xdr:col>
      <xdr:colOff>212481</xdr:colOff>
      <xdr:row>52</xdr:row>
      <xdr:rowOff>161192</xdr:rowOff>
    </xdr:to>
    <xdr:grpSp>
      <xdr:nvGrpSpPr>
        <xdr:cNvPr id="10" name="Group 9">
          <a:extLst>
            <a:ext uri="{FF2B5EF4-FFF2-40B4-BE49-F238E27FC236}">
              <a16:creationId xmlns:a16="http://schemas.microsoft.com/office/drawing/2014/main" id="{CCE29D34-B469-B764-CF45-A1A7BE6A7475}"/>
            </a:ext>
          </a:extLst>
        </xdr:cNvPr>
        <xdr:cNvGrpSpPr/>
      </xdr:nvGrpSpPr>
      <xdr:grpSpPr>
        <a:xfrm>
          <a:off x="12741520" y="1787769"/>
          <a:ext cx="9832730" cy="6931269"/>
          <a:chOff x="9092712" y="3414346"/>
          <a:chExt cx="9832730" cy="6418385"/>
        </a:xfrm>
      </xdr:grpSpPr>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A24FC4CC-2807-483A-4EF4-4B03AD965DA5}"/>
                  </a:ext>
                </a:extLst>
              </xdr:cNvPr>
              <xdr:cNvSpPr txBox="1"/>
            </xdr:nvSpPr>
            <xdr:spPr>
              <a:xfrm>
                <a:off x="9092712" y="3414346"/>
                <a:ext cx="9832730" cy="641838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u="sng"/>
                  <a:t>Pile design formula</a:t>
                </a:r>
              </a:p>
              <a:p>
                <a:pPr algn="ctr"/>
                <a:endParaRPr lang="en-US" sz="1100" b="1" u="sng"/>
              </a:p>
              <a:p>
                <a:r>
                  <a:rPr lang="en-US" sz="1100" b="1" u="none"/>
                  <a:t>Short Term: Clay undrained &amp; sand drained condition:</a:t>
                </a:r>
              </a:p>
              <a:p>
                <a:r>
                  <a:rPr lang="en-US" sz="1100"/>
                  <a:t>Cohesive Soil (Clay):</a:t>
                </a:r>
              </a:p>
              <a:p>
                <a:r>
                  <a:rPr lang="en-US" sz="1100" u="sng"/>
                  <a:t>Short Term (Total stress, </a:t>
                </a:r>
                <a:r>
                  <a:rPr lang="el-GR" sz="1100" u="sng">
                    <a:solidFill>
                      <a:schemeClr val="dk1"/>
                    </a:solidFill>
                    <a:effectLst/>
                    <a:latin typeface="+mn-lt"/>
                    <a:ea typeface="+mn-ea"/>
                    <a:cs typeface="+mn-cs"/>
                  </a:rPr>
                  <a:t>α</a:t>
                </a:r>
                <a:r>
                  <a:rPr lang="en-US" sz="1100" u="sng">
                    <a:solidFill>
                      <a:schemeClr val="dk1"/>
                    </a:solidFill>
                    <a:effectLst/>
                    <a:latin typeface="+mn-lt"/>
                    <a:ea typeface="+mn-ea"/>
                    <a:cs typeface="+mn-cs"/>
                  </a:rPr>
                  <a:t> method</a:t>
                </a:r>
                <a:r>
                  <a:rPr lang="en-US" sz="1100" u="sng"/>
                  <a:t>)</a:t>
                </a:r>
              </a:p>
              <a:p>
                <a:r>
                  <a:rPr lang="en-US" sz="1100"/>
                  <a:t>Base = Nc Cb Ab</a:t>
                </a:r>
              </a:p>
              <a:p>
                <a:r>
                  <a:rPr lang="en-US" sz="1100"/>
                  <a:t>Shaft = </a:t>
                </a:r>
                <a:r>
                  <a:rPr lang="el-GR" sz="1100"/>
                  <a:t>α</a:t>
                </a:r>
                <a:r>
                  <a:rPr lang="en-US" sz="1100"/>
                  <a:t> Cu As</a:t>
                </a:r>
              </a:p>
              <a:p>
                <a:r>
                  <a:rPr lang="en-US" sz="1100" u="sng"/>
                  <a:t>Long term (Effective stress,</a:t>
                </a:r>
                <a:r>
                  <a:rPr lang="el-GR" sz="1100" u="sng"/>
                  <a:t> β</a:t>
                </a:r>
                <a:r>
                  <a:rPr lang="en-US" sz="1100" u="sng"/>
                  <a:t> method)</a:t>
                </a:r>
              </a:p>
              <a:p>
                <a:r>
                  <a:rPr lang="en-US" sz="1100">
                    <a:solidFill>
                      <a:schemeClr val="dk1"/>
                    </a:solidFill>
                    <a:effectLst/>
                    <a:latin typeface="+mn-lt"/>
                    <a:ea typeface="+mn-ea"/>
                    <a:cs typeface="+mn-cs"/>
                  </a:rPr>
                  <a:t>Base = </a:t>
                </a:r>
                <a:r>
                  <a:rPr lang="el-GR" sz="1100">
                    <a:solidFill>
                      <a:schemeClr val="dk1"/>
                    </a:solidFill>
                    <a:effectLst/>
                    <a:latin typeface="+mn-lt"/>
                    <a:ea typeface="+mn-ea"/>
                    <a:cs typeface="+mn-cs"/>
                  </a:rPr>
                  <a:t>σ'</a:t>
                </a:r>
                <a:r>
                  <a:rPr lang="en-US" sz="1100">
                    <a:solidFill>
                      <a:schemeClr val="dk1"/>
                    </a:solidFill>
                    <a:effectLst/>
                    <a:latin typeface="+mn-lt"/>
                    <a:ea typeface="+mn-ea"/>
                    <a:cs typeface="+mn-cs"/>
                  </a:rPr>
                  <a:t>v Nq Ab</a:t>
                </a:r>
                <a:endParaRPr lang="en-US">
                  <a:effectLst/>
                </a:endParaRPr>
              </a:p>
              <a:p>
                <a:r>
                  <a:rPr lang="en-US" sz="1100">
                    <a:solidFill>
                      <a:schemeClr val="dk1"/>
                    </a:solidFill>
                    <a:effectLst/>
                    <a:latin typeface="+mn-lt"/>
                    <a:ea typeface="+mn-ea"/>
                    <a:cs typeface="+mn-cs"/>
                  </a:rPr>
                  <a:t>Shaft = Ks tan</a:t>
                </a:r>
                <a:r>
                  <a:rPr lang="el-GR" sz="1100">
                    <a:solidFill>
                      <a:schemeClr val="dk1"/>
                    </a:solidFill>
                    <a:effectLst/>
                    <a:latin typeface="+mn-lt"/>
                    <a:ea typeface="+mn-ea"/>
                    <a:cs typeface="+mn-cs"/>
                  </a:rPr>
                  <a:t>δ</a:t>
                </a:r>
                <a:r>
                  <a:rPr lang="en-US" sz="1100">
                    <a:solidFill>
                      <a:schemeClr val="dk1"/>
                    </a:solidFill>
                    <a:effectLst/>
                    <a:latin typeface="+mn-lt"/>
                    <a:ea typeface="+mn-ea"/>
                    <a:cs typeface="+mn-cs"/>
                  </a:rPr>
                  <a:t> </a:t>
                </a:r>
                <a:r>
                  <a:rPr lang="el-GR" sz="1100">
                    <a:solidFill>
                      <a:schemeClr val="dk1"/>
                    </a:solidFill>
                    <a:effectLst/>
                    <a:latin typeface="+mn-lt"/>
                    <a:ea typeface="+mn-ea"/>
                    <a:cs typeface="+mn-cs"/>
                  </a:rPr>
                  <a:t>σ'</a:t>
                </a:r>
                <a:r>
                  <a:rPr lang="en-US" sz="1100">
                    <a:solidFill>
                      <a:schemeClr val="dk1"/>
                    </a:solidFill>
                    <a:effectLst/>
                    <a:latin typeface="+mn-lt"/>
                    <a:ea typeface="+mn-ea"/>
                    <a:cs typeface="+mn-cs"/>
                  </a:rPr>
                  <a:t>v  As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Cohesionless Soil (Sand):</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u="sng"/>
                  <a:t>Short term/long term </a:t>
                </a:r>
                <a:r>
                  <a:rPr lang="en-US" sz="1100" u="sng">
                    <a:solidFill>
                      <a:schemeClr val="dk1"/>
                    </a:solidFill>
                    <a:effectLst/>
                    <a:latin typeface="+mn-lt"/>
                    <a:ea typeface="+mn-ea"/>
                    <a:cs typeface="+mn-cs"/>
                  </a:rPr>
                  <a:t>(Effective stress, </a:t>
                </a:r>
                <a:r>
                  <a:rPr lang="el-GR" sz="1100" u="sng">
                    <a:solidFill>
                      <a:schemeClr val="dk1"/>
                    </a:solidFill>
                    <a:effectLst/>
                    <a:latin typeface="+mn-lt"/>
                    <a:ea typeface="+mn-ea"/>
                    <a:cs typeface="+mn-cs"/>
                  </a:rPr>
                  <a:t>β</a:t>
                </a:r>
                <a:r>
                  <a:rPr lang="en-US" sz="1100" u="sng">
                    <a:solidFill>
                      <a:schemeClr val="dk1"/>
                    </a:solidFill>
                    <a:effectLst/>
                    <a:latin typeface="+mn-lt"/>
                    <a:ea typeface="+mn-ea"/>
                    <a:cs typeface="+mn-cs"/>
                  </a:rPr>
                  <a:t> method)</a:t>
                </a:r>
                <a:endParaRPr lang="en-US">
                  <a:effectLst/>
                </a:endParaRPr>
              </a:p>
              <a:p>
                <a:r>
                  <a:rPr lang="en-US" sz="1100">
                    <a:solidFill>
                      <a:schemeClr val="dk1"/>
                    </a:solidFill>
                    <a:effectLst/>
                    <a:latin typeface="+mn-lt"/>
                    <a:ea typeface="+mn-ea"/>
                    <a:cs typeface="+mn-cs"/>
                  </a:rPr>
                  <a:t>Base = </a:t>
                </a:r>
                <a:r>
                  <a:rPr lang="el-GR" sz="1100">
                    <a:solidFill>
                      <a:schemeClr val="dk1"/>
                    </a:solidFill>
                    <a:effectLst/>
                    <a:latin typeface="+mn-lt"/>
                    <a:ea typeface="+mn-ea"/>
                    <a:cs typeface="+mn-cs"/>
                  </a:rPr>
                  <a:t>σ'</a:t>
                </a:r>
                <a:r>
                  <a:rPr lang="en-US" sz="1100">
                    <a:solidFill>
                      <a:schemeClr val="dk1"/>
                    </a:solidFill>
                    <a:effectLst/>
                    <a:latin typeface="+mn-lt"/>
                    <a:ea typeface="+mn-ea"/>
                    <a:cs typeface="+mn-cs"/>
                  </a:rPr>
                  <a:t>v Nq Ab</a:t>
                </a:r>
                <a:endParaRPr lang="en-US">
                  <a:effectLst/>
                </a:endParaRPr>
              </a:p>
              <a:p>
                <a:r>
                  <a:rPr lang="en-US" sz="1100">
                    <a:solidFill>
                      <a:schemeClr val="dk1"/>
                    </a:solidFill>
                    <a:effectLst/>
                    <a:latin typeface="+mn-lt"/>
                    <a:ea typeface="+mn-ea"/>
                    <a:cs typeface="+mn-cs"/>
                  </a:rPr>
                  <a:t>Shaft = Ks tan</a:t>
                </a:r>
                <a:r>
                  <a:rPr lang="el-GR" sz="1100">
                    <a:solidFill>
                      <a:schemeClr val="dk1"/>
                    </a:solidFill>
                    <a:effectLst/>
                    <a:latin typeface="+mn-lt"/>
                    <a:ea typeface="+mn-ea"/>
                    <a:cs typeface="+mn-cs"/>
                  </a:rPr>
                  <a:t>δ</a:t>
                </a:r>
                <a:r>
                  <a:rPr lang="en-US" sz="1100">
                    <a:solidFill>
                      <a:schemeClr val="dk1"/>
                    </a:solidFill>
                    <a:effectLst/>
                    <a:latin typeface="+mn-lt"/>
                    <a:ea typeface="+mn-ea"/>
                    <a:cs typeface="+mn-cs"/>
                  </a:rPr>
                  <a:t> </a:t>
                </a:r>
                <a:r>
                  <a:rPr lang="el-GR" sz="1100">
                    <a:solidFill>
                      <a:schemeClr val="dk1"/>
                    </a:solidFill>
                    <a:effectLst/>
                    <a:latin typeface="+mn-lt"/>
                    <a:ea typeface="+mn-ea"/>
                    <a:cs typeface="+mn-cs"/>
                  </a:rPr>
                  <a:t>σ'</a:t>
                </a:r>
                <a:r>
                  <a:rPr lang="en-US" sz="1100">
                    <a:solidFill>
                      <a:schemeClr val="dk1"/>
                    </a:solidFill>
                    <a:effectLst/>
                    <a:latin typeface="+mn-lt"/>
                    <a:ea typeface="+mn-ea"/>
                    <a:cs typeface="+mn-cs"/>
                  </a:rPr>
                  <a:t>v  As</a:t>
                </a:r>
                <a:endParaRPr lang="en-US" sz="1100" u="sng"/>
              </a:p>
              <a:p>
                <a:endParaRPr lang="en-US" sz="1100" u="none"/>
              </a:p>
              <a:p>
                <a:r>
                  <a:rPr lang="en-US" sz="1100"/>
                  <a:t>Where;</a:t>
                </a:r>
              </a:p>
              <a:p>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𝑁</m:t>
                        </m:r>
                      </m:e>
                      <m:sub>
                        <m:r>
                          <a:rPr lang="en-US" sz="1100" i="1">
                            <a:solidFill>
                              <a:schemeClr val="dk1"/>
                            </a:solidFill>
                            <a:effectLst/>
                            <a:latin typeface="Cambria Math" panose="02040503050406030204" pitchFamily="18" charset="0"/>
                            <a:ea typeface="+mn-ea"/>
                            <a:cs typeface="+mn-cs"/>
                          </a:rPr>
                          <m:t>𝑐</m:t>
                        </m:r>
                      </m:sub>
                    </m:sSub>
                    <m:r>
                      <a:rPr lang="en-US" sz="1100" i="1">
                        <a:solidFill>
                          <a:schemeClr val="dk1"/>
                        </a:solidFill>
                        <a:effectLst/>
                        <a:latin typeface="Cambria Math" panose="02040503050406030204" pitchFamily="18" charset="0"/>
                        <a:ea typeface="+mn-ea"/>
                        <a:cs typeface="+mn-cs"/>
                      </a:rPr>
                      <m:t>=</m:t>
                    </m:r>
                    <m:d>
                      <m:dPr>
                        <m:begChr m:val="["/>
                        <m:endChr m:val="]"/>
                        <m:ctrlPr>
                          <a:rPr lang="en-US" sz="1100" i="1">
                            <a:solidFill>
                              <a:schemeClr val="dk1"/>
                            </a:solidFill>
                            <a:effectLst/>
                            <a:latin typeface="Cambria Math" panose="02040503050406030204" pitchFamily="18" charset="0"/>
                            <a:ea typeface="+mn-ea"/>
                            <a:cs typeface="+mn-cs"/>
                          </a:rPr>
                        </m:ctrlPr>
                      </m:dPr>
                      <m:e>
                        <m:r>
                          <a:rPr lang="en-US" sz="1100" i="1">
                            <a:solidFill>
                              <a:schemeClr val="dk1"/>
                            </a:solidFill>
                            <a:effectLst/>
                            <a:latin typeface="Cambria Math" panose="02040503050406030204" pitchFamily="18" charset="0"/>
                            <a:ea typeface="+mn-ea"/>
                            <a:cs typeface="+mn-cs"/>
                          </a:rPr>
                          <m:t>1+0.2</m:t>
                        </m:r>
                        <m:d>
                          <m:dPr>
                            <m:ctrlPr>
                              <a:rPr lang="en-US" sz="1100" i="1">
                                <a:solidFill>
                                  <a:schemeClr val="dk1"/>
                                </a:solidFill>
                                <a:effectLst/>
                                <a:latin typeface="Cambria Math" panose="02040503050406030204" pitchFamily="18" charset="0"/>
                                <a:ea typeface="+mn-ea"/>
                                <a:cs typeface="+mn-cs"/>
                              </a:rPr>
                            </m:ctrlPr>
                          </m:dPr>
                          <m:e>
                            <m:f>
                              <m:fPr>
                                <m:ctrlPr>
                                  <a:rPr lang="en-US" sz="1100" i="1">
                                    <a:solidFill>
                                      <a:schemeClr val="dk1"/>
                                    </a:solidFill>
                                    <a:effectLst/>
                                    <a:latin typeface="Cambria Math" panose="02040503050406030204" pitchFamily="18" charset="0"/>
                                    <a:ea typeface="+mn-ea"/>
                                    <a:cs typeface="+mn-cs"/>
                                  </a:rPr>
                                </m:ctrlPr>
                              </m:fPr>
                              <m:num>
                                <m:r>
                                  <a:rPr lang="en-US" sz="1100" i="1">
                                    <a:solidFill>
                                      <a:schemeClr val="dk1"/>
                                    </a:solidFill>
                                    <a:effectLst/>
                                    <a:latin typeface="Cambria Math" panose="02040503050406030204" pitchFamily="18" charset="0"/>
                                    <a:ea typeface="+mn-ea"/>
                                    <a:cs typeface="+mn-cs"/>
                                  </a:rPr>
                                  <m:t>𝐿</m:t>
                                </m:r>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𝐷</m:t>
                                    </m:r>
                                  </m:e>
                                  <m:sub>
                                    <m:r>
                                      <a:rPr lang="en-US" sz="1100" i="1">
                                        <a:solidFill>
                                          <a:schemeClr val="dk1"/>
                                        </a:solidFill>
                                        <a:effectLst/>
                                        <a:latin typeface="Cambria Math" panose="02040503050406030204" pitchFamily="18" charset="0"/>
                                        <a:ea typeface="+mn-ea"/>
                                        <a:cs typeface="+mn-cs"/>
                                      </a:rPr>
                                      <m:t>𝑏</m:t>
                                    </m:r>
                                  </m:sub>
                                </m:sSub>
                              </m:den>
                            </m:f>
                          </m:e>
                        </m:d>
                      </m:e>
                    </m:d>
                    <m:r>
                      <a:rPr lang="en-US" sz="1100" i="1">
                        <a:solidFill>
                          <a:schemeClr val="dk1"/>
                        </a:solidFill>
                        <a:effectLst/>
                        <a:latin typeface="Cambria Math" panose="02040503050406030204" pitchFamily="18" charset="0"/>
                        <a:ea typeface="+mn-ea"/>
                        <a:cs typeface="+mn-cs"/>
                      </a:rPr>
                      <m:t>≤9</m:t>
                    </m:r>
                  </m:oMath>
                </a14:m>
                <a:r>
                  <a:rPr lang="en-US" sz="1100">
                    <a:solidFill>
                      <a:schemeClr val="dk1"/>
                    </a:solidFill>
                    <a:effectLst/>
                    <a:latin typeface="+mn-lt"/>
                    <a:ea typeface="+mn-ea"/>
                    <a:cs typeface="+mn-cs"/>
                  </a:rPr>
                  <a:t>]</a:t>
                </a:r>
                <a:endParaRPr lang="en-US" sz="1100" baseline="0"/>
              </a:p>
              <a:p>
                <a:r>
                  <a:rPr lang="el-GR" sz="1100">
                    <a:solidFill>
                      <a:schemeClr val="dk1"/>
                    </a:solidFill>
                    <a:effectLst/>
                    <a:latin typeface="+mn-lt"/>
                    <a:ea typeface="+mn-ea"/>
                    <a:cs typeface="+mn-cs"/>
                  </a:rPr>
                  <a:t>α</a:t>
                </a:r>
                <a:r>
                  <a:rPr lang="en-US" sz="1100">
                    <a:solidFill>
                      <a:schemeClr val="dk1"/>
                    </a:solidFill>
                    <a:effectLst/>
                    <a:latin typeface="+mn-lt"/>
                    <a:ea typeface="+mn-ea"/>
                    <a:cs typeface="+mn-cs"/>
                  </a:rPr>
                  <a:t> = 1, for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m:rPr>
                            <m:sty m:val="p"/>
                          </m:rPr>
                          <a:rPr lang="en-US" sz="1100">
                            <a:solidFill>
                              <a:schemeClr val="dk1"/>
                            </a:solidFill>
                            <a:effectLst/>
                            <a:latin typeface="Cambria Math" panose="02040503050406030204" pitchFamily="18" charset="0"/>
                            <a:ea typeface="+mn-ea"/>
                            <a:cs typeface="+mn-cs"/>
                          </a:rPr>
                          <m:t>c</m:t>
                        </m:r>
                      </m:e>
                      <m:sub>
                        <m:r>
                          <m:rPr>
                            <m:sty m:val="p"/>
                          </m:rPr>
                          <a:rPr lang="en-US" sz="1100">
                            <a:solidFill>
                              <a:schemeClr val="dk1"/>
                            </a:solidFill>
                            <a:effectLst/>
                            <a:latin typeface="Cambria Math" panose="02040503050406030204" pitchFamily="18" charset="0"/>
                            <a:ea typeface="+mn-ea"/>
                            <a:cs typeface="+mn-cs"/>
                          </a:rPr>
                          <m:t>u</m:t>
                        </m:r>
                      </m:sub>
                    </m:sSub>
                    <m:r>
                      <a:rPr lang="en-US" sz="1100" i="1">
                        <a:solidFill>
                          <a:schemeClr val="dk1"/>
                        </a:solidFill>
                        <a:effectLst/>
                        <a:latin typeface="Cambria Math" panose="02040503050406030204" pitchFamily="18" charset="0"/>
                        <a:ea typeface="+mn-ea"/>
                        <a:cs typeface="+mn-cs"/>
                      </a:rPr>
                      <m:t>≤ </m:t>
                    </m:r>
                  </m:oMath>
                </a14:m>
                <a:r>
                  <a:rPr lang="en-US" sz="1100">
                    <a:solidFill>
                      <a:schemeClr val="dk1"/>
                    </a:solidFill>
                    <a:effectLst/>
                    <a:latin typeface="+mn-lt"/>
                    <a:ea typeface="+mn-ea"/>
                    <a:cs typeface="+mn-cs"/>
                  </a:rPr>
                  <a:t>25 kPa,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a:solidFill>
                              <a:schemeClr val="dk1"/>
                            </a:solidFill>
                            <a:effectLst/>
                            <a:latin typeface="Cambria Math" panose="02040503050406030204" pitchFamily="18" charset="0"/>
                            <a:ea typeface="+mn-ea"/>
                            <a:cs typeface="+mn-cs"/>
                            <a:sym typeface="Symbol" panose="05050102010706020507" pitchFamily="18" charset="2"/>
                          </a:rPr>
                          <m:t></m:t>
                        </m:r>
                      </m:e>
                      <m:sub/>
                    </m:sSub>
                  </m:oMath>
                </a14:m>
                <a:r>
                  <a:rPr lang="en-US" sz="1100">
                    <a:solidFill>
                      <a:schemeClr val="dk1"/>
                    </a:solidFill>
                    <a:effectLst/>
                    <a:latin typeface="+mn-lt"/>
                    <a:ea typeface="+mn-ea"/>
                    <a:cs typeface="+mn-cs"/>
                  </a:rPr>
                  <a:t>=0.5 for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m:rPr>
                            <m:sty m:val="p"/>
                          </m:rPr>
                          <a:rPr lang="en-US" sz="1100">
                            <a:solidFill>
                              <a:schemeClr val="dk1"/>
                            </a:solidFill>
                            <a:effectLst/>
                            <a:latin typeface="Cambria Math" panose="02040503050406030204" pitchFamily="18" charset="0"/>
                            <a:ea typeface="+mn-ea"/>
                            <a:cs typeface="+mn-cs"/>
                          </a:rPr>
                          <m:t>c</m:t>
                        </m:r>
                      </m:e>
                      <m:sub>
                        <m:r>
                          <m:rPr>
                            <m:sty m:val="p"/>
                          </m:rPr>
                          <a:rPr lang="en-US" sz="1100">
                            <a:solidFill>
                              <a:schemeClr val="dk1"/>
                            </a:solidFill>
                            <a:effectLst/>
                            <a:latin typeface="Cambria Math" panose="02040503050406030204" pitchFamily="18" charset="0"/>
                            <a:ea typeface="+mn-ea"/>
                            <a:cs typeface="+mn-cs"/>
                          </a:rPr>
                          <m:t>u</m:t>
                        </m:r>
                      </m:sub>
                    </m:sSub>
                    <m:r>
                      <a:rPr lang="en-US" sz="1100" i="1">
                        <a:solidFill>
                          <a:schemeClr val="dk1"/>
                        </a:solidFill>
                        <a:effectLst/>
                        <a:latin typeface="Cambria Math" panose="02040503050406030204" pitchFamily="18" charset="0"/>
                        <a:ea typeface="+mn-ea"/>
                        <a:cs typeface="+mn-cs"/>
                      </a:rPr>
                      <m:t>≥ </m:t>
                    </m:r>
                  </m:oMath>
                </a14:m>
                <a:r>
                  <a:rPr lang="en-US" sz="1100">
                    <a:solidFill>
                      <a:schemeClr val="dk1"/>
                    </a:solidFill>
                    <a:effectLst/>
                    <a:latin typeface="+mn-lt"/>
                    <a:ea typeface="+mn-ea"/>
                    <a:cs typeface="+mn-cs"/>
                  </a:rPr>
                  <a:t>70 kPa, and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a:solidFill>
                              <a:schemeClr val="dk1"/>
                            </a:solidFill>
                            <a:effectLst/>
                            <a:latin typeface="Cambria Math" panose="02040503050406030204" pitchFamily="18" charset="0"/>
                            <a:ea typeface="+mn-ea"/>
                            <a:cs typeface="+mn-cs"/>
                            <a:sym typeface="Symbol" panose="05050102010706020507" pitchFamily="18" charset="2"/>
                          </a:rPr>
                          <m:t></m:t>
                        </m:r>
                      </m:e>
                      <m:sub/>
                    </m:sSub>
                  </m:oMath>
                </a14:m>
                <a:r>
                  <a:rPr lang="en-US" sz="1100">
                    <a:solidFill>
                      <a:schemeClr val="dk1"/>
                    </a:solidFill>
                    <a:effectLst/>
                    <a:latin typeface="+mn-lt"/>
                    <a:ea typeface="+mn-ea"/>
                    <a:cs typeface="+mn-cs"/>
                  </a:rPr>
                  <a:t>= 1-</a:t>
                </a:r>
                <a14:m>
                  <m:oMath xmlns:m="http://schemas.openxmlformats.org/officeDocument/2006/math">
                    <m:f>
                      <m:fPr>
                        <m:ctrlPr>
                          <a:rPr lang="en-US" sz="1100" i="1">
                            <a:solidFill>
                              <a:schemeClr val="dk1"/>
                            </a:solidFill>
                            <a:effectLst/>
                            <a:latin typeface="Cambria Math" panose="02040503050406030204" pitchFamily="18" charset="0"/>
                            <a:ea typeface="+mn-ea"/>
                            <a:cs typeface="+mn-cs"/>
                          </a:rPr>
                        </m:ctrlPr>
                      </m:fPr>
                      <m:num>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𝐶</m:t>
                            </m:r>
                          </m:e>
                          <m:sub>
                            <m:r>
                              <a:rPr lang="en-US" sz="1100" i="1">
                                <a:solidFill>
                                  <a:schemeClr val="dk1"/>
                                </a:solidFill>
                                <a:effectLst/>
                                <a:latin typeface="Cambria Math" panose="02040503050406030204" pitchFamily="18" charset="0"/>
                                <a:ea typeface="+mn-ea"/>
                                <a:cs typeface="+mn-cs"/>
                              </a:rPr>
                              <m:t>𝑢</m:t>
                            </m:r>
                          </m:sub>
                        </m:sSub>
                        <m:r>
                          <a:rPr lang="en-US" sz="1100" i="1">
                            <a:solidFill>
                              <a:schemeClr val="dk1"/>
                            </a:solidFill>
                            <a:effectLst/>
                            <a:latin typeface="Cambria Math" panose="02040503050406030204" pitchFamily="18" charset="0"/>
                            <a:ea typeface="+mn-ea"/>
                            <a:cs typeface="+mn-cs"/>
                          </a:rPr>
                          <m:t>−25</m:t>
                        </m:r>
                      </m:num>
                      <m:den>
                        <m:r>
                          <a:rPr lang="en-US" sz="1100" i="1">
                            <a:solidFill>
                              <a:schemeClr val="dk1"/>
                            </a:solidFill>
                            <a:effectLst/>
                            <a:latin typeface="Cambria Math" panose="02040503050406030204" pitchFamily="18" charset="0"/>
                            <a:ea typeface="+mn-ea"/>
                            <a:cs typeface="+mn-cs"/>
                          </a:rPr>
                          <m:t>70</m:t>
                        </m:r>
                      </m:den>
                    </m:f>
                  </m:oMath>
                </a14:m>
                <a:r>
                  <a:rPr lang="en-US" sz="1100">
                    <a:solidFill>
                      <a:schemeClr val="dk1"/>
                    </a:solidFill>
                    <a:effectLst/>
                    <a:latin typeface="+mn-lt"/>
                    <a:ea typeface="+mn-ea"/>
                    <a:cs typeface="+mn-cs"/>
                  </a:rPr>
                  <a:t> for 25 kPa </a:t>
                </a:r>
                <a14:m>
                  <m:oMath xmlns:m="http://schemas.openxmlformats.org/officeDocument/2006/math">
                    <m:r>
                      <a:rPr lang="en-US" sz="1100" i="1">
                        <a:solidFill>
                          <a:schemeClr val="dk1"/>
                        </a:solidFill>
                        <a:effectLst/>
                        <a:latin typeface="Cambria Math" panose="02040503050406030204" pitchFamily="18" charset="0"/>
                        <a:ea typeface="+mn-ea"/>
                        <a:cs typeface="+mn-cs"/>
                      </a:rPr>
                      <m:t>&lt; </m:t>
                    </m:r>
                    <m:sSub>
                      <m:sSubPr>
                        <m:ctrlPr>
                          <a:rPr lang="en-US" sz="1100" i="1">
                            <a:solidFill>
                              <a:schemeClr val="dk1"/>
                            </a:solidFill>
                            <a:effectLst/>
                            <a:latin typeface="Cambria Math" panose="02040503050406030204" pitchFamily="18" charset="0"/>
                            <a:ea typeface="+mn-ea"/>
                            <a:cs typeface="+mn-cs"/>
                          </a:rPr>
                        </m:ctrlPr>
                      </m:sSubPr>
                      <m:e>
                        <m:r>
                          <m:rPr>
                            <m:sty m:val="p"/>
                          </m:rPr>
                          <a:rPr lang="en-US" sz="1100">
                            <a:solidFill>
                              <a:schemeClr val="dk1"/>
                            </a:solidFill>
                            <a:effectLst/>
                            <a:latin typeface="Cambria Math" panose="02040503050406030204" pitchFamily="18" charset="0"/>
                            <a:ea typeface="+mn-ea"/>
                            <a:cs typeface="+mn-cs"/>
                          </a:rPr>
                          <m:t>c</m:t>
                        </m:r>
                      </m:e>
                      <m:sub>
                        <m:r>
                          <m:rPr>
                            <m:sty m:val="p"/>
                          </m:rPr>
                          <a:rPr lang="en-US" sz="1100">
                            <a:solidFill>
                              <a:schemeClr val="dk1"/>
                            </a:solidFill>
                            <a:effectLst/>
                            <a:latin typeface="Cambria Math" panose="02040503050406030204" pitchFamily="18" charset="0"/>
                            <a:ea typeface="+mn-ea"/>
                            <a:cs typeface="+mn-cs"/>
                          </a:rPr>
                          <m:t>u</m:t>
                        </m:r>
                      </m:sub>
                    </m:sSub>
                    <m:r>
                      <a:rPr lang="en-US" sz="1100" i="1">
                        <a:solidFill>
                          <a:schemeClr val="dk1"/>
                        </a:solidFill>
                        <a:effectLst/>
                        <a:latin typeface="Cambria Math" panose="02040503050406030204" pitchFamily="18" charset="0"/>
                        <a:ea typeface="+mn-ea"/>
                        <a:cs typeface="+mn-cs"/>
                      </a:rPr>
                      <m:t>&lt;</m:t>
                    </m:r>
                  </m:oMath>
                </a14:m>
                <a:r>
                  <a:rPr lang="en-US" sz="1100">
                    <a:solidFill>
                      <a:schemeClr val="dk1"/>
                    </a:solidFill>
                    <a:effectLst/>
                    <a:latin typeface="+mn-lt"/>
                    <a:ea typeface="+mn-ea"/>
                    <a:cs typeface="+mn-cs"/>
                  </a:rPr>
                  <a:t>70 kPa</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Cu</a:t>
                </a:r>
                <a:r>
                  <a:rPr lang="en-US" sz="1100" baseline="0">
                    <a:solidFill>
                      <a:schemeClr val="dk1"/>
                    </a:solidFill>
                    <a:effectLst/>
                    <a:latin typeface="+mn-lt"/>
                    <a:ea typeface="+mn-ea"/>
                    <a:cs typeface="+mn-cs"/>
                  </a:rPr>
                  <a:t> = Undrained shearstrength/Cohesion</a:t>
                </a:r>
              </a:p>
              <a:p>
                <a:r>
                  <a:rPr lang="en-US" sz="1100" baseline="0">
                    <a:solidFill>
                      <a:schemeClr val="dk1"/>
                    </a:solidFill>
                    <a:effectLst/>
                    <a:latin typeface="+mn-lt"/>
                    <a:ea typeface="+mn-ea"/>
                    <a:cs typeface="+mn-cs"/>
                  </a:rPr>
                  <a:t>Ab = Base area</a:t>
                </a:r>
              </a:p>
              <a:p>
                <a:r>
                  <a:rPr lang="en-US" sz="1100" baseline="0">
                    <a:solidFill>
                      <a:schemeClr val="dk1"/>
                    </a:solidFill>
                    <a:effectLst/>
                    <a:latin typeface="+mn-lt"/>
                    <a:ea typeface="+mn-ea"/>
                    <a:cs typeface="+mn-cs"/>
                  </a:rPr>
                  <a:t>As = Shaft area</a:t>
                </a:r>
              </a:p>
              <a:p>
                <a:r>
                  <a:rPr lang="en-US" sz="1100">
                    <a:solidFill>
                      <a:schemeClr val="dk1"/>
                    </a:solidFill>
                    <a:effectLst/>
                    <a:latin typeface="+mn-lt"/>
                    <a:ea typeface="+mn-ea"/>
                    <a:cs typeface="+mn-cs"/>
                  </a:rPr>
                  <a:t>Nq</a:t>
                </a:r>
                <a:r>
                  <a:rPr lang="en-US" sz="1100" baseline="0">
                    <a:solidFill>
                      <a:schemeClr val="dk1"/>
                    </a:solidFill>
                    <a:effectLst/>
                    <a:latin typeface="+mn-lt"/>
                    <a:ea typeface="+mn-ea"/>
                    <a:cs typeface="+mn-cs"/>
                  </a:rPr>
                  <a:t> = </a:t>
                </a:r>
                <a:r>
                  <a:rPr lang="en-US" sz="1100">
                    <a:solidFill>
                      <a:schemeClr val="dk1"/>
                    </a:solidFill>
                    <a:effectLst/>
                    <a:latin typeface="+mn-lt"/>
                    <a:ea typeface="+mn-ea"/>
                    <a:cs typeface="+mn-cs"/>
                  </a:rPr>
                  <a:t>After Berezantzev et. al. 1961 (graph)</a:t>
                </a:r>
                <a:endParaRPr lang="en-US">
                  <a:effectLst/>
                </a:endParaRPr>
              </a:p>
              <a:p>
                <a:r>
                  <a:rPr lang="el-GR" sz="1100">
                    <a:solidFill>
                      <a:schemeClr val="dk1"/>
                    </a:solidFill>
                    <a:effectLst/>
                    <a:latin typeface="+mn-lt"/>
                    <a:ea typeface="+mn-ea"/>
                    <a:cs typeface="+mn-cs"/>
                  </a:rPr>
                  <a:t>σ'</a:t>
                </a:r>
                <a:r>
                  <a:rPr lang="en-US" sz="1100">
                    <a:solidFill>
                      <a:schemeClr val="dk1"/>
                    </a:solidFill>
                    <a:effectLst/>
                    <a:latin typeface="+mn-lt"/>
                    <a:ea typeface="+mn-ea"/>
                    <a:cs typeface="+mn-cs"/>
                  </a:rPr>
                  <a:t>v  = Effective stress</a:t>
                </a:r>
              </a:p>
              <a:p>
                <a:r>
                  <a:rPr lang="en-US" sz="1100">
                    <a:solidFill>
                      <a:schemeClr val="dk1"/>
                    </a:solidFill>
                    <a:effectLst/>
                    <a:latin typeface="+mn-lt"/>
                    <a:ea typeface="+mn-ea"/>
                    <a:cs typeface="+mn-cs"/>
                  </a:rPr>
                  <a:t>Ks = 1-sin</a:t>
                </a:r>
                <a:r>
                  <a:rPr lang="az-Cyrl-AZ" sz="1100">
                    <a:solidFill>
                      <a:schemeClr val="dk1"/>
                    </a:solidFill>
                    <a:effectLst/>
                    <a:latin typeface="+mn-lt"/>
                    <a:ea typeface="+mn-ea"/>
                    <a:cs typeface="+mn-cs"/>
                  </a:rPr>
                  <a:t>ф</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if</a:t>
                </a:r>
                <a:r>
                  <a:rPr lang="en-US" sz="1100" baseline="0">
                    <a:solidFill>
                      <a:schemeClr val="dk1"/>
                    </a:solidFill>
                    <a:effectLst/>
                    <a:latin typeface="+mn-lt"/>
                    <a:ea typeface="+mn-ea"/>
                    <a:cs typeface="+mn-cs"/>
                  </a:rPr>
                  <a:t> not input)</a:t>
                </a:r>
              </a:p>
              <a:p>
                <a:r>
                  <a:rPr lang="el-GR" sz="1100">
                    <a:solidFill>
                      <a:schemeClr val="dk1"/>
                    </a:solidFill>
                    <a:effectLst/>
                    <a:latin typeface="+mn-lt"/>
                    <a:ea typeface="+mn-ea"/>
                    <a:cs typeface="+mn-cs"/>
                  </a:rPr>
                  <a:t>δ</a:t>
                </a:r>
                <a:r>
                  <a:rPr lang="en-US" sz="1100">
                    <a:solidFill>
                      <a:schemeClr val="dk1"/>
                    </a:solidFill>
                    <a:effectLst/>
                    <a:latin typeface="+mn-lt"/>
                    <a:ea typeface="+mn-ea"/>
                    <a:cs typeface="+mn-cs"/>
                  </a:rPr>
                  <a:t> = 1 * friction</a:t>
                </a:r>
                <a:r>
                  <a:rPr lang="en-US" sz="1100" baseline="0">
                    <a:solidFill>
                      <a:schemeClr val="dk1"/>
                    </a:solidFill>
                    <a:effectLst/>
                    <a:latin typeface="+mn-lt"/>
                    <a:ea typeface="+mn-ea"/>
                    <a:cs typeface="+mn-cs"/>
                  </a:rPr>
                  <a:t> angle</a:t>
                </a:r>
              </a:p>
              <a:p>
                <a:endParaRPr lang="en-US" sz="1100" baseline="0">
                  <a:solidFill>
                    <a:schemeClr val="dk1"/>
                  </a:solidFill>
                  <a:effectLst/>
                  <a:latin typeface="+mn-lt"/>
                  <a:ea typeface="+mn-ea"/>
                  <a:cs typeface="+mn-cs"/>
                </a:endParaRPr>
              </a:p>
              <a:p>
                <a:r>
                  <a:rPr lang="en-US" sz="1100">
                    <a:solidFill>
                      <a:schemeClr val="dk1"/>
                    </a:solidFill>
                    <a:effectLst/>
                    <a:latin typeface="+mn-lt"/>
                    <a:ea typeface="+mn-ea"/>
                    <a:cs typeface="+mn-cs"/>
                  </a:rPr>
                  <a:t>Minimum of Total Resistance/</a:t>
                </a:r>
                <a:r>
                  <a:rPr lang="el-GR" sz="1100">
                    <a:solidFill>
                      <a:schemeClr val="dk1"/>
                    </a:solidFill>
                    <a:effectLst/>
                    <a:latin typeface="+mn-lt"/>
                    <a:ea typeface="+mn-ea"/>
                    <a:cs typeface="+mn-cs"/>
                  </a:rPr>
                  <a:t>γ</a:t>
                </a:r>
                <a:r>
                  <a:rPr lang="en-US" sz="1100" baseline="-25000">
                    <a:solidFill>
                      <a:schemeClr val="dk1"/>
                    </a:solidFill>
                    <a:effectLst/>
                    <a:latin typeface="+mn-lt"/>
                    <a:ea typeface="+mn-ea"/>
                    <a:cs typeface="+mn-cs"/>
                  </a:rPr>
                  <a:t>t</a:t>
                </a:r>
                <a:r>
                  <a:rPr lang="en-US" sz="1100" baseline="0">
                    <a:solidFill>
                      <a:schemeClr val="dk1"/>
                    </a:solidFill>
                    <a:effectLst/>
                    <a:latin typeface="+mn-lt"/>
                    <a:ea typeface="+mn-ea"/>
                    <a:cs typeface="+mn-cs"/>
                  </a:rPr>
                  <a:t> or </a:t>
                </a:r>
                <a:r>
                  <a:rPr lang="en-US" sz="1100">
                    <a:solidFill>
                      <a:schemeClr val="dk1"/>
                    </a:solidFill>
                    <a:effectLst/>
                    <a:latin typeface="+mn-lt"/>
                    <a:ea typeface="+mn-ea"/>
                    <a:cs typeface="+mn-cs"/>
                  </a:rPr>
                  <a:t>Base Resistance/</a:t>
                </a:r>
                <a:r>
                  <a:rPr lang="el-GR" sz="1100">
                    <a:solidFill>
                      <a:schemeClr val="dk1"/>
                    </a:solidFill>
                    <a:effectLst/>
                    <a:latin typeface="+mn-lt"/>
                    <a:ea typeface="+mn-ea"/>
                    <a:cs typeface="+mn-cs"/>
                  </a:rPr>
                  <a:t>γ</a:t>
                </a:r>
                <a:r>
                  <a:rPr lang="en-US" sz="1100" baseline="-25000">
                    <a:solidFill>
                      <a:schemeClr val="dk1"/>
                    </a:solidFill>
                    <a:effectLst/>
                    <a:latin typeface="+mn-lt"/>
                    <a:ea typeface="+mn-ea"/>
                    <a:cs typeface="+mn-cs"/>
                  </a:rPr>
                  <a:t>b</a:t>
                </a:r>
                <a:r>
                  <a:rPr lang="en-US" sz="1100">
                    <a:solidFill>
                      <a:schemeClr val="dk1"/>
                    </a:solidFill>
                    <a:effectLst/>
                    <a:latin typeface="+mn-lt"/>
                    <a:ea typeface="+mn-ea"/>
                    <a:cs typeface="+mn-cs"/>
                  </a:rPr>
                  <a:t> + Shaft Resistance/</a:t>
                </a:r>
                <a:r>
                  <a:rPr lang="el-GR" sz="1100">
                    <a:solidFill>
                      <a:schemeClr val="dk1"/>
                    </a:solidFill>
                    <a:effectLst/>
                    <a:latin typeface="+mn-lt"/>
                    <a:ea typeface="+mn-ea"/>
                    <a:cs typeface="+mn-cs"/>
                  </a:rPr>
                  <a:t>γ</a:t>
                </a:r>
                <a:r>
                  <a:rPr lang="en-US" sz="1100" baseline="-25000">
                    <a:solidFill>
                      <a:schemeClr val="dk1"/>
                    </a:solidFill>
                    <a:effectLst/>
                    <a:latin typeface="+mn-lt"/>
                    <a:ea typeface="+mn-ea"/>
                    <a:cs typeface="+mn-cs"/>
                  </a:rPr>
                  <a:t>s</a:t>
                </a:r>
                <a:r>
                  <a:rPr lang="en-US" sz="1100">
                    <a:solidFill>
                      <a:schemeClr val="dk1"/>
                    </a:solidFill>
                    <a:effectLst/>
                    <a:latin typeface="+mn-lt"/>
                    <a:ea typeface="+mn-ea"/>
                    <a:cs typeface="+mn-cs"/>
                  </a:rPr>
                  <a:t> </a:t>
                </a:r>
              </a:p>
            </xdr:txBody>
          </xdr:sp>
        </mc:Choice>
        <mc:Fallback xmlns="">
          <xdr:sp macro="" textlink="">
            <xdr:nvSpPr>
              <xdr:cNvPr id="9" name="TextBox 8">
                <a:extLst>
                  <a:ext uri="{FF2B5EF4-FFF2-40B4-BE49-F238E27FC236}">
                    <a16:creationId xmlns:a16="http://schemas.microsoft.com/office/drawing/2014/main" id="{A24FC4CC-2807-483A-4EF4-4B03AD965DA5}"/>
                  </a:ext>
                </a:extLst>
              </xdr:cNvPr>
              <xdr:cNvSpPr txBox="1"/>
            </xdr:nvSpPr>
            <xdr:spPr>
              <a:xfrm>
                <a:off x="9092712" y="3414346"/>
                <a:ext cx="9832730" cy="641838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u="sng"/>
                  <a:t>Pile design formula</a:t>
                </a:r>
              </a:p>
              <a:p>
                <a:pPr algn="ctr"/>
                <a:endParaRPr lang="en-US" sz="1100" b="1" u="sng"/>
              </a:p>
              <a:p>
                <a:r>
                  <a:rPr lang="en-US" sz="1100" b="1" u="none"/>
                  <a:t>Short Term: Clay undrained &amp; sand drained condition:</a:t>
                </a:r>
              </a:p>
              <a:p>
                <a:r>
                  <a:rPr lang="en-US" sz="1100"/>
                  <a:t>Cohesive Soil (Clay):</a:t>
                </a:r>
              </a:p>
              <a:p>
                <a:r>
                  <a:rPr lang="en-US" sz="1100" u="sng"/>
                  <a:t>Short Term (Total stress, </a:t>
                </a:r>
                <a:r>
                  <a:rPr lang="el-GR" sz="1100" u="sng">
                    <a:solidFill>
                      <a:schemeClr val="dk1"/>
                    </a:solidFill>
                    <a:effectLst/>
                    <a:latin typeface="+mn-lt"/>
                    <a:ea typeface="+mn-ea"/>
                    <a:cs typeface="+mn-cs"/>
                  </a:rPr>
                  <a:t>α</a:t>
                </a:r>
                <a:r>
                  <a:rPr lang="en-US" sz="1100" u="sng">
                    <a:solidFill>
                      <a:schemeClr val="dk1"/>
                    </a:solidFill>
                    <a:effectLst/>
                    <a:latin typeface="+mn-lt"/>
                    <a:ea typeface="+mn-ea"/>
                    <a:cs typeface="+mn-cs"/>
                  </a:rPr>
                  <a:t> method</a:t>
                </a:r>
                <a:r>
                  <a:rPr lang="en-US" sz="1100" u="sng"/>
                  <a:t>)</a:t>
                </a:r>
              </a:p>
              <a:p>
                <a:r>
                  <a:rPr lang="en-US" sz="1100"/>
                  <a:t>Base = Nc Cb Ab</a:t>
                </a:r>
              </a:p>
              <a:p>
                <a:r>
                  <a:rPr lang="en-US" sz="1100"/>
                  <a:t>Shaft = </a:t>
                </a:r>
                <a:r>
                  <a:rPr lang="el-GR" sz="1100"/>
                  <a:t>α</a:t>
                </a:r>
                <a:r>
                  <a:rPr lang="en-US" sz="1100"/>
                  <a:t> Cu As</a:t>
                </a:r>
              </a:p>
              <a:p>
                <a:r>
                  <a:rPr lang="en-US" sz="1100" u="sng"/>
                  <a:t>Long term (Effective stress,</a:t>
                </a:r>
                <a:r>
                  <a:rPr lang="el-GR" sz="1100" u="sng"/>
                  <a:t> β</a:t>
                </a:r>
                <a:r>
                  <a:rPr lang="en-US" sz="1100" u="sng"/>
                  <a:t> method)</a:t>
                </a:r>
              </a:p>
              <a:p>
                <a:r>
                  <a:rPr lang="en-US" sz="1100">
                    <a:solidFill>
                      <a:schemeClr val="dk1"/>
                    </a:solidFill>
                    <a:effectLst/>
                    <a:latin typeface="+mn-lt"/>
                    <a:ea typeface="+mn-ea"/>
                    <a:cs typeface="+mn-cs"/>
                  </a:rPr>
                  <a:t>Base = </a:t>
                </a:r>
                <a:r>
                  <a:rPr lang="el-GR" sz="1100">
                    <a:solidFill>
                      <a:schemeClr val="dk1"/>
                    </a:solidFill>
                    <a:effectLst/>
                    <a:latin typeface="+mn-lt"/>
                    <a:ea typeface="+mn-ea"/>
                    <a:cs typeface="+mn-cs"/>
                  </a:rPr>
                  <a:t>σ'</a:t>
                </a:r>
                <a:r>
                  <a:rPr lang="en-US" sz="1100">
                    <a:solidFill>
                      <a:schemeClr val="dk1"/>
                    </a:solidFill>
                    <a:effectLst/>
                    <a:latin typeface="+mn-lt"/>
                    <a:ea typeface="+mn-ea"/>
                    <a:cs typeface="+mn-cs"/>
                  </a:rPr>
                  <a:t>v Nq Ab</a:t>
                </a:r>
                <a:endParaRPr lang="en-US">
                  <a:effectLst/>
                </a:endParaRPr>
              </a:p>
              <a:p>
                <a:r>
                  <a:rPr lang="en-US" sz="1100">
                    <a:solidFill>
                      <a:schemeClr val="dk1"/>
                    </a:solidFill>
                    <a:effectLst/>
                    <a:latin typeface="+mn-lt"/>
                    <a:ea typeface="+mn-ea"/>
                    <a:cs typeface="+mn-cs"/>
                  </a:rPr>
                  <a:t>Shaft = Ks tan</a:t>
                </a:r>
                <a:r>
                  <a:rPr lang="el-GR" sz="1100">
                    <a:solidFill>
                      <a:schemeClr val="dk1"/>
                    </a:solidFill>
                    <a:effectLst/>
                    <a:latin typeface="+mn-lt"/>
                    <a:ea typeface="+mn-ea"/>
                    <a:cs typeface="+mn-cs"/>
                  </a:rPr>
                  <a:t>δ</a:t>
                </a:r>
                <a:r>
                  <a:rPr lang="en-US" sz="1100">
                    <a:solidFill>
                      <a:schemeClr val="dk1"/>
                    </a:solidFill>
                    <a:effectLst/>
                    <a:latin typeface="+mn-lt"/>
                    <a:ea typeface="+mn-ea"/>
                    <a:cs typeface="+mn-cs"/>
                  </a:rPr>
                  <a:t> </a:t>
                </a:r>
                <a:r>
                  <a:rPr lang="el-GR" sz="1100">
                    <a:solidFill>
                      <a:schemeClr val="dk1"/>
                    </a:solidFill>
                    <a:effectLst/>
                    <a:latin typeface="+mn-lt"/>
                    <a:ea typeface="+mn-ea"/>
                    <a:cs typeface="+mn-cs"/>
                  </a:rPr>
                  <a:t>σ'</a:t>
                </a:r>
                <a:r>
                  <a:rPr lang="en-US" sz="1100">
                    <a:solidFill>
                      <a:schemeClr val="dk1"/>
                    </a:solidFill>
                    <a:effectLst/>
                    <a:latin typeface="+mn-lt"/>
                    <a:ea typeface="+mn-ea"/>
                    <a:cs typeface="+mn-cs"/>
                  </a:rPr>
                  <a:t>v  As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Cohesionless Soil (Sand):</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u="sng"/>
                  <a:t>Short term/long term </a:t>
                </a:r>
                <a:r>
                  <a:rPr lang="en-US" sz="1100" u="sng">
                    <a:solidFill>
                      <a:schemeClr val="dk1"/>
                    </a:solidFill>
                    <a:effectLst/>
                    <a:latin typeface="+mn-lt"/>
                    <a:ea typeface="+mn-ea"/>
                    <a:cs typeface="+mn-cs"/>
                  </a:rPr>
                  <a:t>(Effective stress, </a:t>
                </a:r>
                <a:r>
                  <a:rPr lang="el-GR" sz="1100" u="sng">
                    <a:solidFill>
                      <a:schemeClr val="dk1"/>
                    </a:solidFill>
                    <a:effectLst/>
                    <a:latin typeface="+mn-lt"/>
                    <a:ea typeface="+mn-ea"/>
                    <a:cs typeface="+mn-cs"/>
                  </a:rPr>
                  <a:t>β</a:t>
                </a:r>
                <a:r>
                  <a:rPr lang="en-US" sz="1100" u="sng">
                    <a:solidFill>
                      <a:schemeClr val="dk1"/>
                    </a:solidFill>
                    <a:effectLst/>
                    <a:latin typeface="+mn-lt"/>
                    <a:ea typeface="+mn-ea"/>
                    <a:cs typeface="+mn-cs"/>
                  </a:rPr>
                  <a:t> method)</a:t>
                </a:r>
                <a:endParaRPr lang="en-US">
                  <a:effectLst/>
                </a:endParaRPr>
              </a:p>
              <a:p>
                <a:r>
                  <a:rPr lang="en-US" sz="1100">
                    <a:solidFill>
                      <a:schemeClr val="dk1"/>
                    </a:solidFill>
                    <a:effectLst/>
                    <a:latin typeface="+mn-lt"/>
                    <a:ea typeface="+mn-ea"/>
                    <a:cs typeface="+mn-cs"/>
                  </a:rPr>
                  <a:t>Base = </a:t>
                </a:r>
                <a:r>
                  <a:rPr lang="el-GR" sz="1100">
                    <a:solidFill>
                      <a:schemeClr val="dk1"/>
                    </a:solidFill>
                    <a:effectLst/>
                    <a:latin typeface="+mn-lt"/>
                    <a:ea typeface="+mn-ea"/>
                    <a:cs typeface="+mn-cs"/>
                  </a:rPr>
                  <a:t>σ'</a:t>
                </a:r>
                <a:r>
                  <a:rPr lang="en-US" sz="1100">
                    <a:solidFill>
                      <a:schemeClr val="dk1"/>
                    </a:solidFill>
                    <a:effectLst/>
                    <a:latin typeface="+mn-lt"/>
                    <a:ea typeface="+mn-ea"/>
                    <a:cs typeface="+mn-cs"/>
                  </a:rPr>
                  <a:t>v Nq Ab</a:t>
                </a:r>
                <a:endParaRPr lang="en-US">
                  <a:effectLst/>
                </a:endParaRPr>
              </a:p>
              <a:p>
                <a:r>
                  <a:rPr lang="en-US" sz="1100">
                    <a:solidFill>
                      <a:schemeClr val="dk1"/>
                    </a:solidFill>
                    <a:effectLst/>
                    <a:latin typeface="+mn-lt"/>
                    <a:ea typeface="+mn-ea"/>
                    <a:cs typeface="+mn-cs"/>
                  </a:rPr>
                  <a:t>Shaft = Ks tan</a:t>
                </a:r>
                <a:r>
                  <a:rPr lang="el-GR" sz="1100">
                    <a:solidFill>
                      <a:schemeClr val="dk1"/>
                    </a:solidFill>
                    <a:effectLst/>
                    <a:latin typeface="+mn-lt"/>
                    <a:ea typeface="+mn-ea"/>
                    <a:cs typeface="+mn-cs"/>
                  </a:rPr>
                  <a:t>δ</a:t>
                </a:r>
                <a:r>
                  <a:rPr lang="en-US" sz="1100">
                    <a:solidFill>
                      <a:schemeClr val="dk1"/>
                    </a:solidFill>
                    <a:effectLst/>
                    <a:latin typeface="+mn-lt"/>
                    <a:ea typeface="+mn-ea"/>
                    <a:cs typeface="+mn-cs"/>
                  </a:rPr>
                  <a:t> </a:t>
                </a:r>
                <a:r>
                  <a:rPr lang="el-GR" sz="1100">
                    <a:solidFill>
                      <a:schemeClr val="dk1"/>
                    </a:solidFill>
                    <a:effectLst/>
                    <a:latin typeface="+mn-lt"/>
                    <a:ea typeface="+mn-ea"/>
                    <a:cs typeface="+mn-cs"/>
                  </a:rPr>
                  <a:t>σ'</a:t>
                </a:r>
                <a:r>
                  <a:rPr lang="en-US" sz="1100">
                    <a:solidFill>
                      <a:schemeClr val="dk1"/>
                    </a:solidFill>
                    <a:effectLst/>
                    <a:latin typeface="+mn-lt"/>
                    <a:ea typeface="+mn-ea"/>
                    <a:cs typeface="+mn-cs"/>
                  </a:rPr>
                  <a:t>v  As</a:t>
                </a:r>
                <a:endParaRPr lang="en-US" sz="1100" u="sng"/>
              </a:p>
              <a:p>
                <a:endParaRPr lang="en-US" sz="1100" u="none"/>
              </a:p>
              <a:p>
                <a:r>
                  <a:rPr lang="en-US" sz="1100"/>
                  <a:t>Where;</a:t>
                </a:r>
              </a:p>
              <a:p>
                <a:r>
                  <a:rPr lang="en-US" sz="1100" i="0">
                    <a:solidFill>
                      <a:schemeClr val="dk1"/>
                    </a:solidFill>
                    <a:effectLst/>
                    <a:latin typeface="+mn-lt"/>
                    <a:ea typeface="+mn-ea"/>
                    <a:cs typeface="+mn-cs"/>
                  </a:rPr>
                  <a:t>𝑁_𝑐=[1+0.2(𝐿/𝐷_𝑏 )]≤9</a:t>
                </a:r>
                <a:r>
                  <a:rPr lang="en-US" sz="1100">
                    <a:solidFill>
                      <a:schemeClr val="dk1"/>
                    </a:solidFill>
                    <a:effectLst/>
                    <a:latin typeface="+mn-lt"/>
                    <a:ea typeface="+mn-ea"/>
                    <a:cs typeface="+mn-cs"/>
                  </a:rPr>
                  <a:t>]</a:t>
                </a:r>
                <a:endParaRPr lang="en-US" sz="1100" baseline="0"/>
              </a:p>
              <a:p>
                <a:r>
                  <a:rPr lang="el-GR" sz="1100">
                    <a:solidFill>
                      <a:schemeClr val="dk1"/>
                    </a:solidFill>
                    <a:effectLst/>
                    <a:latin typeface="+mn-lt"/>
                    <a:ea typeface="+mn-ea"/>
                    <a:cs typeface="+mn-cs"/>
                  </a:rPr>
                  <a:t>α</a:t>
                </a:r>
                <a:r>
                  <a:rPr lang="en-US" sz="1100">
                    <a:solidFill>
                      <a:schemeClr val="dk1"/>
                    </a:solidFill>
                    <a:effectLst/>
                    <a:latin typeface="+mn-lt"/>
                    <a:ea typeface="+mn-ea"/>
                    <a:cs typeface="+mn-cs"/>
                  </a:rPr>
                  <a:t> = 1, for </a:t>
                </a:r>
                <a:r>
                  <a:rPr lang="en-US" sz="1100" i="0">
                    <a:solidFill>
                      <a:schemeClr val="dk1"/>
                    </a:solidFill>
                    <a:effectLst/>
                    <a:latin typeface="+mn-lt"/>
                    <a:ea typeface="+mn-ea"/>
                    <a:cs typeface="+mn-cs"/>
                  </a:rPr>
                  <a:t>c_u≤ </a:t>
                </a:r>
                <a:r>
                  <a:rPr lang="en-US" sz="1100">
                    <a:solidFill>
                      <a:schemeClr val="dk1"/>
                    </a:solidFill>
                    <a:effectLst/>
                    <a:latin typeface="+mn-lt"/>
                    <a:ea typeface="+mn-ea"/>
                    <a:cs typeface="+mn-cs"/>
                  </a:rPr>
                  <a:t>25 kPa, </a:t>
                </a:r>
                <a:r>
                  <a:rPr lang="en-US" sz="1100" i="0">
                    <a:solidFill>
                      <a:schemeClr val="dk1"/>
                    </a:solidFill>
                    <a:effectLst/>
                    <a:latin typeface="+mn-lt"/>
                    <a:ea typeface="+mn-ea"/>
                    <a:cs typeface="+mn-cs"/>
                    <a:sym typeface="Symbol" panose="05050102010706020507" pitchFamily="18" charset="2"/>
                  </a:rPr>
                  <a:t>_</a:t>
                </a:r>
                <a:r>
                  <a:rPr lang="en-US" sz="1100">
                    <a:solidFill>
                      <a:schemeClr val="dk1"/>
                    </a:solidFill>
                    <a:effectLst/>
                    <a:latin typeface="+mn-lt"/>
                    <a:ea typeface="+mn-ea"/>
                    <a:cs typeface="+mn-cs"/>
                  </a:rPr>
                  <a:t>=0.5 for </a:t>
                </a:r>
                <a:r>
                  <a:rPr lang="en-US" sz="1100" i="0">
                    <a:solidFill>
                      <a:schemeClr val="dk1"/>
                    </a:solidFill>
                    <a:effectLst/>
                    <a:latin typeface="+mn-lt"/>
                    <a:ea typeface="+mn-ea"/>
                    <a:cs typeface="+mn-cs"/>
                  </a:rPr>
                  <a:t>c_u≥ </a:t>
                </a:r>
                <a:r>
                  <a:rPr lang="en-US" sz="1100">
                    <a:solidFill>
                      <a:schemeClr val="dk1"/>
                    </a:solidFill>
                    <a:effectLst/>
                    <a:latin typeface="+mn-lt"/>
                    <a:ea typeface="+mn-ea"/>
                    <a:cs typeface="+mn-cs"/>
                  </a:rPr>
                  <a:t>70 kPa, and </a:t>
                </a:r>
                <a:r>
                  <a:rPr lang="en-US" sz="1100" i="0">
                    <a:solidFill>
                      <a:schemeClr val="dk1"/>
                    </a:solidFill>
                    <a:effectLst/>
                    <a:latin typeface="+mn-lt"/>
                    <a:ea typeface="+mn-ea"/>
                    <a:cs typeface="+mn-cs"/>
                    <a:sym typeface="Symbol" panose="05050102010706020507" pitchFamily="18" charset="2"/>
                  </a:rPr>
                  <a:t>_</a:t>
                </a:r>
                <a:r>
                  <a:rPr lang="en-US" sz="1100">
                    <a:solidFill>
                      <a:schemeClr val="dk1"/>
                    </a:solidFill>
                    <a:effectLst/>
                    <a:latin typeface="+mn-lt"/>
                    <a:ea typeface="+mn-ea"/>
                    <a:cs typeface="+mn-cs"/>
                  </a:rPr>
                  <a:t>= 1-</a:t>
                </a:r>
                <a:r>
                  <a:rPr lang="en-US" sz="1100" i="0">
                    <a:solidFill>
                      <a:schemeClr val="dk1"/>
                    </a:solidFill>
                    <a:effectLst/>
                    <a:latin typeface="+mn-lt"/>
                    <a:ea typeface="+mn-ea"/>
                    <a:cs typeface="+mn-cs"/>
                  </a:rPr>
                  <a:t>(𝐶_𝑢−25)/70</a:t>
                </a:r>
                <a:r>
                  <a:rPr lang="en-US" sz="1100">
                    <a:solidFill>
                      <a:schemeClr val="dk1"/>
                    </a:solidFill>
                    <a:effectLst/>
                    <a:latin typeface="+mn-lt"/>
                    <a:ea typeface="+mn-ea"/>
                    <a:cs typeface="+mn-cs"/>
                  </a:rPr>
                  <a:t> for 25 kPa </a:t>
                </a:r>
                <a:r>
                  <a:rPr lang="en-US" sz="1100" i="0">
                    <a:solidFill>
                      <a:schemeClr val="dk1"/>
                    </a:solidFill>
                    <a:effectLst/>
                    <a:latin typeface="+mn-lt"/>
                    <a:ea typeface="+mn-ea"/>
                    <a:cs typeface="+mn-cs"/>
                  </a:rPr>
                  <a:t>&lt; c_u&lt;</a:t>
                </a:r>
                <a:r>
                  <a:rPr lang="en-US" sz="1100">
                    <a:solidFill>
                      <a:schemeClr val="dk1"/>
                    </a:solidFill>
                    <a:effectLst/>
                    <a:latin typeface="+mn-lt"/>
                    <a:ea typeface="+mn-ea"/>
                    <a:cs typeface="+mn-cs"/>
                  </a:rPr>
                  <a:t>70 kPa</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Cu</a:t>
                </a:r>
                <a:r>
                  <a:rPr lang="en-US" sz="1100" baseline="0">
                    <a:solidFill>
                      <a:schemeClr val="dk1"/>
                    </a:solidFill>
                    <a:effectLst/>
                    <a:latin typeface="+mn-lt"/>
                    <a:ea typeface="+mn-ea"/>
                    <a:cs typeface="+mn-cs"/>
                  </a:rPr>
                  <a:t> = Undrained shearstrength/Cohesion</a:t>
                </a:r>
              </a:p>
              <a:p>
                <a:r>
                  <a:rPr lang="en-US" sz="1100" baseline="0">
                    <a:solidFill>
                      <a:schemeClr val="dk1"/>
                    </a:solidFill>
                    <a:effectLst/>
                    <a:latin typeface="+mn-lt"/>
                    <a:ea typeface="+mn-ea"/>
                    <a:cs typeface="+mn-cs"/>
                  </a:rPr>
                  <a:t>Ab = Base area</a:t>
                </a:r>
              </a:p>
              <a:p>
                <a:r>
                  <a:rPr lang="en-US" sz="1100" baseline="0">
                    <a:solidFill>
                      <a:schemeClr val="dk1"/>
                    </a:solidFill>
                    <a:effectLst/>
                    <a:latin typeface="+mn-lt"/>
                    <a:ea typeface="+mn-ea"/>
                    <a:cs typeface="+mn-cs"/>
                  </a:rPr>
                  <a:t>As = Shaft area</a:t>
                </a:r>
              </a:p>
              <a:p>
                <a:r>
                  <a:rPr lang="en-US" sz="1100">
                    <a:solidFill>
                      <a:schemeClr val="dk1"/>
                    </a:solidFill>
                    <a:effectLst/>
                    <a:latin typeface="+mn-lt"/>
                    <a:ea typeface="+mn-ea"/>
                    <a:cs typeface="+mn-cs"/>
                  </a:rPr>
                  <a:t>Nq</a:t>
                </a:r>
                <a:r>
                  <a:rPr lang="en-US" sz="1100" baseline="0">
                    <a:solidFill>
                      <a:schemeClr val="dk1"/>
                    </a:solidFill>
                    <a:effectLst/>
                    <a:latin typeface="+mn-lt"/>
                    <a:ea typeface="+mn-ea"/>
                    <a:cs typeface="+mn-cs"/>
                  </a:rPr>
                  <a:t> = </a:t>
                </a:r>
                <a:r>
                  <a:rPr lang="en-US" sz="1100">
                    <a:solidFill>
                      <a:schemeClr val="dk1"/>
                    </a:solidFill>
                    <a:effectLst/>
                    <a:latin typeface="+mn-lt"/>
                    <a:ea typeface="+mn-ea"/>
                    <a:cs typeface="+mn-cs"/>
                  </a:rPr>
                  <a:t>After Berezantzev et. al. 1961 (graph)</a:t>
                </a:r>
                <a:endParaRPr lang="en-US">
                  <a:effectLst/>
                </a:endParaRPr>
              </a:p>
              <a:p>
                <a:r>
                  <a:rPr lang="el-GR" sz="1100">
                    <a:solidFill>
                      <a:schemeClr val="dk1"/>
                    </a:solidFill>
                    <a:effectLst/>
                    <a:latin typeface="+mn-lt"/>
                    <a:ea typeface="+mn-ea"/>
                    <a:cs typeface="+mn-cs"/>
                  </a:rPr>
                  <a:t>σ'</a:t>
                </a:r>
                <a:r>
                  <a:rPr lang="en-US" sz="1100">
                    <a:solidFill>
                      <a:schemeClr val="dk1"/>
                    </a:solidFill>
                    <a:effectLst/>
                    <a:latin typeface="+mn-lt"/>
                    <a:ea typeface="+mn-ea"/>
                    <a:cs typeface="+mn-cs"/>
                  </a:rPr>
                  <a:t>v  = Effective stress</a:t>
                </a:r>
              </a:p>
              <a:p>
                <a:r>
                  <a:rPr lang="en-US" sz="1100">
                    <a:solidFill>
                      <a:schemeClr val="dk1"/>
                    </a:solidFill>
                    <a:effectLst/>
                    <a:latin typeface="+mn-lt"/>
                    <a:ea typeface="+mn-ea"/>
                    <a:cs typeface="+mn-cs"/>
                  </a:rPr>
                  <a:t>Ks = 1-sin</a:t>
                </a:r>
                <a:r>
                  <a:rPr lang="az-Cyrl-AZ" sz="1100">
                    <a:solidFill>
                      <a:schemeClr val="dk1"/>
                    </a:solidFill>
                    <a:effectLst/>
                    <a:latin typeface="+mn-lt"/>
                    <a:ea typeface="+mn-ea"/>
                    <a:cs typeface="+mn-cs"/>
                  </a:rPr>
                  <a:t>ф</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if</a:t>
                </a:r>
                <a:r>
                  <a:rPr lang="en-US" sz="1100" baseline="0">
                    <a:solidFill>
                      <a:schemeClr val="dk1"/>
                    </a:solidFill>
                    <a:effectLst/>
                    <a:latin typeface="+mn-lt"/>
                    <a:ea typeface="+mn-ea"/>
                    <a:cs typeface="+mn-cs"/>
                  </a:rPr>
                  <a:t> not input)</a:t>
                </a:r>
              </a:p>
              <a:p>
                <a:r>
                  <a:rPr lang="el-GR" sz="1100">
                    <a:solidFill>
                      <a:schemeClr val="dk1"/>
                    </a:solidFill>
                    <a:effectLst/>
                    <a:latin typeface="+mn-lt"/>
                    <a:ea typeface="+mn-ea"/>
                    <a:cs typeface="+mn-cs"/>
                  </a:rPr>
                  <a:t>δ</a:t>
                </a:r>
                <a:r>
                  <a:rPr lang="en-US" sz="1100">
                    <a:solidFill>
                      <a:schemeClr val="dk1"/>
                    </a:solidFill>
                    <a:effectLst/>
                    <a:latin typeface="+mn-lt"/>
                    <a:ea typeface="+mn-ea"/>
                    <a:cs typeface="+mn-cs"/>
                  </a:rPr>
                  <a:t> = 1 * friction</a:t>
                </a:r>
                <a:r>
                  <a:rPr lang="en-US" sz="1100" baseline="0">
                    <a:solidFill>
                      <a:schemeClr val="dk1"/>
                    </a:solidFill>
                    <a:effectLst/>
                    <a:latin typeface="+mn-lt"/>
                    <a:ea typeface="+mn-ea"/>
                    <a:cs typeface="+mn-cs"/>
                  </a:rPr>
                  <a:t> angle</a:t>
                </a:r>
              </a:p>
              <a:p>
                <a:endParaRPr lang="en-US" sz="1100" baseline="0">
                  <a:solidFill>
                    <a:schemeClr val="dk1"/>
                  </a:solidFill>
                  <a:effectLst/>
                  <a:latin typeface="+mn-lt"/>
                  <a:ea typeface="+mn-ea"/>
                  <a:cs typeface="+mn-cs"/>
                </a:endParaRPr>
              </a:p>
              <a:p>
                <a:r>
                  <a:rPr lang="en-US" sz="1100">
                    <a:solidFill>
                      <a:schemeClr val="dk1"/>
                    </a:solidFill>
                    <a:effectLst/>
                    <a:latin typeface="+mn-lt"/>
                    <a:ea typeface="+mn-ea"/>
                    <a:cs typeface="+mn-cs"/>
                  </a:rPr>
                  <a:t>Minimum of Total Resistance/</a:t>
                </a:r>
                <a:r>
                  <a:rPr lang="el-GR" sz="1100">
                    <a:solidFill>
                      <a:schemeClr val="dk1"/>
                    </a:solidFill>
                    <a:effectLst/>
                    <a:latin typeface="+mn-lt"/>
                    <a:ea typeface="+mn-ea"/>
                    <a:cs typeface="+mn-cs"/>
                  </a:rPr>
                  <a:t>γ</a:t>
                </a:r>
                <a:r>
                  <a:rPr lang="en-US" sz="1100" baseline="-25000">
                    <a:solidFill>
                      <a:schemeClr val="dk1"/>
                    </a:solidFill>
                    <a:effectLst/>
                    <a:latin typeface="+mn-lt"/>
                    <a:ea typeface="+mn-ea"/>
                    <a:cs typeface="+mn-cs"/>
                  </a:rPr>
                  <a:t>t</a:t>
                </a:r>
                <a:r>
                  <a:rPr lang="en-US" sz="1100" baseline="0">
                    <a:solidFill>
                      <a:schemeClr val="dk1"/>
                    </a:solidFill>
                    <a:effectLst/>
                    <a:latin typeface="+mn-lt"/>
                    <a:ea typeface="+mn-ea"/>
                    <a:cs typeface="+mn-cs"/>
                  </a:rPr>
                  <a:t> or </a:t>
                </a:r>
                <a:r>
                  <a:rPr lang="en-US" sz="1100">
                    <a:solidFill>
                      <a:schemeClr val="dk1"/>
                    </a:solidFill>
                    <a:effectLst/>
                    <a:latin typeface="+mn-lt"/>
                    <a:ea typeface="+mn-ea"/>
                    <a:cs typeface="+mn-cs"/>
                  </a:rPr>
                  <a:t>Base Resistance/</a:t>
                </a:r>
                <a:r>
                  <a:rPr lang="el-GR" sz="1100">
                    <a:solidFill>
                      <a:schemeClr val="dk1"/>
                    </a:solidFill>
                    <a:effectLst/>
                    <a:latin typeface="+mn-lt"/>
                    <a:ea typeface="+mn-ea"/>
                    <a:cs typeface="+mn-cs"/>
                  </a:rPr>
                  <a:t>γ</a:t>
                </a:r>
                <a:r>
                  <a:rPr lang="en-US" sz="1100" baseline="-25000">
                    <a:solidFill>
                      <a:schemeClr val="dk1"/>
                    </a:solidFill>
                    <a:effectLst/>
                    <a:latin typeface="+mn-lt"/>
                    <a:ea typeface="+mn-ea"/>
                    <a:cs typeface="+mn-cs"/>
                  </a:rPr>
                  <a:t>b</a:t>
                </a:r>
                <a:r>
                  <a:rPr lang="en-US" sz="1100">
                    <a:solidFill>
                      <a:schemeClr val="dk1"/>
                    </a:solidFill>
                    <a:effectLst/>
                    <a:latin typeface="+mn-lt"/>
                    <a:ea typeface="+mn-ea"/>
                    <a:cs typeface="+mn-cs"/>
                  </a:rPr>
                  <a:t> + Shaft Resistance/</a:t>
                </a:r>
                <a:r>
                  <a:rPr lang="el-GR" sz="1100">
                    <a:solidFill>
                      <a:schemeClr val="dk1"/>
                    </a:solidFill>
                    <a:effectLst/>
                    <a:latin typeface="+mn-lt"/>
                    <a:ea typeface="+mn-ea"/>
                    <a:cs typeface="+mn-cs"/>
                  </a:rPr>
                  <a:t>γ</a:t>
                </a:r>
                <a:r>
                  <a:rPr lang="en-US" sz="1100" baseline="-25000">
                    <a:solidFill>
                      <a:schemeClr val="dk1"/>
                    </a:solidFill>
                    <a:effectLst/>
                    <a:latin typeface="+mn-lt"/>
                    <a:ea typeface="+mn-ea"/>
                    <a:cs typeface="+mn-cs"/>
                  </a:rPr>
                  <a:t>s</a:t>
                </a:r>
                <a:r>
                  <a:rPr lang="en-US" sz="1100">
                    <a:solidFill>
                      <a:schemeClr val="dk1"/>
                    </a:solidFill>
                    <a:effectLst/>
                    <a:latin typeface="+mn-lt"/>
                    <a:ea typeface="+mn-ea"/>
                    <a:cs typeface="+mn-cs"/>
                  </a:rPr>
                  <a:t> </a:t>
                </a:r>
              </a:p>
            </xdr:txBody>
          </xdr:sp>
        </mc:Fallback>
      </mc:AlternateContent>
      <xdr:grpSp>
        <xdr:nvGrpSpPr>
          <xdr:cNvPr id="8" name="Group 7">
            <a:extLst>
              <a:ext uri="{FF2B5EF4-FFF2-40B4-BE49-F238E27FC236}">
                <a16:creationId xmlns:a16="http://schemas.microsoft.com/office/drawing/2014/main" id="{421759D7-14B2-B58F-D42A-89F253CC92D9}"/>
              </a:ext>
            </a:extLst>
          </xdr:cNvPr>
          <xdr:cNvGrpSpPr/>
        </xdr:nvGrpSpPr>
        <xdr:grpSpPr>
          <a:xfrm>
            <a:off x="14360771" y="3508132"/>
            <a:ext cx="4534105" cy="6219825"/>
            <a:chOff x="7960421" y="3165205"/>
            <a:chExt cx="3620021" cy="3657600"/>
          </a:xfrm>
        </xdr:grpSpPr>
        <xdr:pic>
          <xdr:nvPicPr>
            <xdr:cNvPr id="6" name="Picture 5">
              <a:extLst>
                <a:ext uri="{FF2B5EF4-FFF2-40B4-BE49-F238E27FC236}">
                  <a16:creationId xmlns:a16="http://schemas.microsoft.com/office/drawing/2014/main" id="{22D79496-DF39-4FDB-F891-DAC338D4AC48}"/>
                </a:ext>
              </a:extLst>
            </xdr:cNvPr>
            <xdr:cNvPicPr>
              <a:picLocks noChangeAspect="1"/>
            </xdr:cNvPicPr>
          </xdr:nvPicPr>
          <xdr:blipFill>
            <a:blip xmlns:r="http://schemas.openxmlformats.org/officeDocument/2006/relationships" r:embed="rId2"/>
            <a:stretch>
              <a:fillRect/>
            </a:stretch>
          </xdr:blipFill>
          <xdr:spPr>
            <a:xfrm>
              <a:off x="7960421" y="3165205"/>
              <a:ext cx="3609663" cy="3657600"/>
            </a:xfrm>
            <a:prstGeom prst="rect">
              <a:avLst/>
            </a:prstGeom>
          </xdr:spPr>
        </xdr:pic>
        <xdr:sp macro="" textlink="">
          <xdr:nvSpPr>
            <xdr:cNvPr id="7" name="TextBox 6">
              <a:extLst>
                <a:ext uri="{FF2B5EF4-FFF2-40B4-BE49-F238E27FC236}">
                  <a16:creationId xmlns:a16="http://schemas.microsoft.com/office/drawing/2014/main" id="{1379CBE7-B59A-CA91-5DBB-6ED74A27AA6D}"/>
                </a:ext>
              </a:extLst>
            </xdr:cNvPr>
            <xdr:cNvSpPr txBox="1"/>
          </xdr:nvSpPr>
          <xdr:spPr>
            <a:xfrm>
              <a:off x="8151442" y="6502354"/>
              <a:ext cx="34290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700">
                  <a:latin typeface="Arial" panose="020B0604020202020204" pitchFamily="34" charset="0"/>
                  <a:cs typeface="Arial" panose="020B0604020202020204" pitchFamily="34" charset="0"/>
                </a:rPr>
                <a:t>Bearing capacity factor Nq for deep foundation (After Berezantzev et. al. 1961)</a:t>
              </a:r>
            </a:p>
          </xdr:txBody>
        </xdr:sp>
      </xdr:grpSp>
      <xdr:pic>
        <xdr:nvPicPr>
          <xdr:cNvPr id="5" name="Picture 4">
            <a:extLst>
              <a:ext uri="{FF2B5EF4-FFF2-40B4-BE49-F238E27FC236}">
                <a16:creationId xmlns:a16="http://schemas.microsoft.com/office/drawing/2014/main" id="{BBA6EAE6-1DD0-7353-080B-0F20C261552D}"/>
              </a:ext>
            </a:extLst>
          </xdr:cNvPr>
          <xdr:cNvPicPr>
            <a:picLocks noChangeAspect="1"/>
          </xdr:cNvPicPr>
        </xdr:nvPicPr>
        <xdr:blipFill>
          <a:blip xmlns:r="http://schemas.openxmlformats.org/officeDocument/2006/relationships" r:embed="rId3"/>
          <a:stretch>
            <a:fillRect/>
          </a:stretch>
        </xdr:blipFill>
        <xdr:spPr>
          <a:xfrm>
            <a:off x="10550769" y="8187459"/>
            <a:ext cx="3790951" cy="1506863"/>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78952</xdr:colOff>
      <xdr:row>0</xdr:row>
      <xdr:rowOff>19050</xdr:rowOff>
    </xdr:from>
    <xdr:to>
      <xdr:col>2</xdr:col>
      <xdr:colOff>372648</xdr:colOff>
      <xdr:row>2</xdr:row>
      <xdr:rowOff>150494</xdr:rowOff>
    </xdr:to>
    <xdr:pic>
      <xdr:nvPicPr>
        <xdr:cNvPr id="3" name="Picture 2">
          <a:extLst>
            <a:ext uri="{FF2B5EF4-FFF2-40B4-BE49-F238E27FC236}">
              <a16:creationId xmlns:a16="http://schemas.microsoft.com/office/drawing/2014/main" id="{BAC48775-A0C4-4495-9194-647F2D412279}"/>
            </a:ext>
          </a:extLst>
        </xdr:cNvPr>
        <xdr:cNvPicPr>
          <a:picLocks noChangeAspect="1"/>
        </xdr:cNvPicPr>
      </xdr:nvPicPr>
      <xdr:blipFill>
        <a:blip xmlns:r="http://schemas.openxmlformats.org/officeDocument/2006/relationships" r:embed="rId1"/>
        <a:stretch>
          <a:fillRect/>
        </a:stretch>
      </xdr:blipFill>
      <xdr:spPr>
        <a:xfrm>
          <a:off x="78952" y="19050"/>
          <a:ext cx="1493846" cy="5124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78952</xdr:colOff>
      <xdr:row>0</xdr:row>
      <xdr:rowOff>19050</xdr:rowOff>
    </xdr:from>
    <xdr:to>
      <xdr:col>2</xdr:col>
      <xdr:colOff>372648</xdr:colOff>
      <xdr:row>2</xdr:row>
      <xdr:rowOff>150494</xdr:rowOff>
    </xdr:to>
    <xdr:pic>
      <xdr:nvPicPr>
        <xdr:cNvPr id="2" name="Picture 1">
          <a:extLst>
            <a:ext uri="{FF2B5EF4-FFF2-40B4-BE49-F238E27FC236}">
              <a16:creationId xmlns:a16="http://schemas.microsoft.com/office/drawing/2014/main" id="{EC482FD0-289C-42A9-AE9C-CA021FEEBDB8}"/>
            </a:ext>
          </a:extLst>
        </xdr:cNvPr>
        <xdr:cNvPicPr>
          <a:picLocks noChangeAspect="1"/>
        </xdr:cNvPicPr>
      </xdr:nvPicPr>
      <xdr:blipFill>
        <a:blip xmlns:r="http://schemas.openxmlformats.org/officeDocument/2006/relationships" r:embed="rId1"/>
        <a:stretch>
          <a:fillRect/>
        </a:stretch>
      </xdr:blipFill>
      <xdr:spPr>
        <a:xfrm>
          <a:off x="78952" y="19050"/>
          <a:ext cx="1493846" cy="51244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0CD91-8851-40C0-8B27-B731C3905F17}">
  <dimension ref="A1:AC138"/>
  <sheetViews>
    <sheetView tabSelected="1" topLeftCell="A31" zoomScale="130" zoomScaleNormal="130" zoomScaleSheetLayoutView="100" workbookViewId="0">
      <selection activeCell="H27" sqref="H27"/>
    </sheetView>
  </sheetViews>
  <sheetFormatPr defaultColWidth="8.85546875" defaultRowHeight="12.75" x14ac:dyDescent="0.2"/>
  <cols>
    <col min="1" max="2" width="8.85546875" style="12"/>
    <col min="3" max="7" width="9" style="12" customWidth="1"/>
    <col min="8" max="8" width="9.28515625" style="12" customWidth="1"/>
    <col min="9" max="14" width="9" style="12" customWidth="1"/>
    <col min="15" max="15" width="10.140625" style="12" customWidth="1"/>
    <col min="16" max="20" width="8.85546875" style="12" customWidth="1"/>
    <col min="21" max="31" width="10" style="12" customWidth="1"/>
    <col min="32" max="16384" width="8.85546875" style="12"/>
  </cols>
  <sheetData>
    <row r="1" spans="1:29" ht="15" customHeight="1" x14ac:dyDescent="0.2">
      <c r="A1" s="101"/>
      <c r="B1" s="101"/>
      <c r="C1" s="102"/>
      <c r="D1" s="103" t="s">
        <v>2</v>
      </c>
      <c r="E1" s="104"/>
      <c r="F1" s="104"/>
      <c r="G1" s="104"/>
      <c r="H1" s="104"/>
      <c r="I1" s="105"/>
      <c r="J1" s="103" t="s">
        <v>3</v>
      </c>
      <c r="K1" s="105"/>
      <c r="L1" s="42"/>
      <c r="P1" s="14"/>
      <c r="S1" s="52"/>
      <c r="T1" s="52"/>
    </row>
    <row r="2" spans="1:29" ht="15" customHeight="1" x14ac:dyDescent="0.2">
      <c r="A2" s="101"/>
      <c r="B2" s="101"/>
      <c r="C2" s="102"/>
      <c r="D2" s="15" t="s">
        <v>4</v>
      </c>
      <c r="E2" s="16"/>
      <c r="F2" s="16"/>
      <c r="G2" s="16"/>
      <c r="H2" s="16"/>
      <c r="I2" s="17"/>
      <c r="J2" s="15" t="s">
        <v>5</v>
      </c>
      <c r="K2" s="17"/>
      <c r="L2" s="43"/>
    </row>
    <row r="3" spans="1:29" ht="15" customHeight="1" x14ac:dyDescent="0.2">
      <c r="A3" s="101"/>
      <c r="B3" s="101"/>
      <c r="C3" s="102"/>
      <c r="D3" s="103" t="s">
        <v>6</v>
      </c>
      <c r="E3" s="104"/>
      <c r="F3" s="104"/>
      <c r="G3" s="104"/>
      <c r="H3" s="104"/>
      <c r="I3" s="105"/>
      <c r="J3" s="106" t="s">
        <v>7</v>
      </c>
      <c r="K3" s="107"/>
      <c r="L3" s="44"/>
      <c r="V3" s="95" t="s">
        <v>50</v>
      </c>
      <c r="W3" s="97"/>
      <c r="X3" s="97"/>
      <c r="Y3" s="97"/>
      <c r="Z3" s="98"/>
      <c r="AB3" s="51"/>
      <c r="AC3" s="6"/>
    </row>
    <row r="4" spans="1:29" ht="15" customHeight="1" x14ac:dyDescent="0.2">
      <c r="A4" s="108" t="s">
        <v>8</v>
      </c>
      <c r="B4" s="109"/>
      <c r="C4" s="110"/>
      <c r="D4" s="15" t="s">
        <v>9</v>
      </c>
      <c r="E4" s="16"/>
      <c r="F4" s="16"/>
      <c r="G4" s="16"/>
      <c r="H4" s="16"/>
      <c r="I4" s="17"/>
      <c r="J4" s="15"/>
      <c r="K4" s="17"/>
      <c r="L4" s="43"/>
      <c r="V4" s="40" t="s">
        <v>28</v>
      </c>
      <c r="W4" s="95" t="s">
        <v>37</v>
      </c>
      <c r="X4" s="96"/>
      <c r="Y4" s="95" t="s">
        <v>38</v>
      </c>
      <c r="Z4" s="96"/>
      <c r="AB4" s="51"/>
      <c r="AC4" s="52"/>
    </row>
    <row r="5" spans="1:29" ht="15" customHeight="1" x14ac:dyDescent="0.2">
      <c r="A5" s="109"/>
      <c r="B5" s="109"/>
      <c r="C5" s="110"/>
      <c r="D5" s="103" t="s">
        <v>10</v>
      </c>
      <c r="E5" s="105"/>
      <c r="F5" s="103" t="s">
        <v>11</v>
      </c>
      <c r="G5" s="105"/>
      <c r="H5" s="1" t="s">
        <v>12</v>
      </c>
      <c r="I5" s="106" t="s">
        <v>13</v>
      </c>
      <c r="J5" s="107"/>
      <c r="K5" s="2" t="s">
        <v>12</v>
      </c>
      <c r="L5" s="45"/>
      <c r="V5" s="40" t="s">
        <v>29</v>
      </c>
      <c r="W5" s="49" t="s">
        <v>33</v>
      </c>
      <c r="X5" s="49" t="s">
        <v>43</v>
      </c>
      <c r="Y5" s="49" t="s">
        <v>33</v>
      </c>
      <c r="Z5" s="49" t="s">
        <v>43</v>
      </c>
      <c r="AA5" s="51"/>
    </row>
    <row r="6" spans="1:29" ht="15" customHeight="1" x14ac:dyDescent="0.2">
      <c r="A6" s="109"/>
      <c r="B6" s="109"/>
      <c r="C6" s="110"/>
      <c r="D6" s="18" t="s">
        <v>14</v>
      </c>
      <c r="E6" s="17"/>
      <c r="F6" s="18" t="s">
        <v>15</v>
      </c>
      <c r="G6" s="17"/>
      <c r="H6" s="19">
        <f ca="1">TODAY()</f>
        <v>45988</v>
      </c>
      <c r="I6" s="18" t="s">
        <v>16</v>
      </c>
      <c r="J6" s="17"/>
      <c r="K6" s="19">
        <f ca="1">TODAY()</f>
        <v>45988</v>
      </c>
      <c r="L6" s="46"/>
      <c r="V6" s="41" t="s">
        <v>46</v>
      </c>
      <c r="W6" s="53">
        <v>1</v>
      </c>
      <c r="X6" s="53">
        <v>1.25</v>
      </c>
      <c r="Y6" s="53">
        <v>1.3</v>
      </c>
      <c r="Z6" s="53">
        <v>1.6</v>
      </c>
    </row>
    <row r="7" spans="1:29" ht="12.75" customHeight="1" x14ac:dyDescent="0.2">
      <c r="A7" s="20" t="s">
        <v>17</v>
      </c>
      <c r="B7" s="99" t="s">
        <v>18</v>
      </c>
      <c r="C7" s="99"/>
      <c r="D7" s="100"/>
      <c r="E7" s="100"/>
      <c r="F7" s="100"/>
      <c r="G7" s="100"/>
      <c r="H7" s="100"/>
      <c r="I7" s="100"/>
      <c r="J7" s="100"/>
      <c r="K7" s="21" t="s">
        <v>19</v>
      </c>
      <c r="L7" s="47"/>
      <c r="V7" s="41" t="s">
        <v>45</v>
      </c>
      <c r="W7" s="53">
        <v>1</v>
      </c>
      <c r="X7" s="53">
        <v>1</v>
      </c>
      <c r="Y7" s="53">
        <v>1.3</v>
      </c>
      <c r="Z7" s="53">
        <v>1.3</v>
      </c>
      <c r="AC7" s="52"/>
    </row>
    <row r="8" spans="1:29" ht="12.95" customHeight="1" x14ac:dyDescent="0.2">
      <c r="A8" s="8"/>
      <c r="B8" s="8"/>
      <c r="C8" s="8"/>
      <c r="D8" s="8"/>
      <c r="E8" s="8"/>
      <c r="F8" s="8"/>
      <c r="G8" s="8"/>
      <c r="H8" s="8"/>
      <c r="I8" s="8"/>
      <c r="J8" s="8"/>
      <c r="K8" s="8"/>
      <c r="L8" s="8"/>
      <c r="V8" s="41" t="s">
        <v>44</v>
      </c>
      <c r="W8" s="53">
        <v>1</v>
      </c>
      <c r="X8" s="53">
        <v>1.1499999999999999</v>
      </c>
      <c r="Y8" s="53">
        <v>1.3</v>
      </c>
      <c r="Z8" s="53">
        <v>1.5</v>
      </c>
    </row>
    <row r="9" spans="1:29" ht="12.95" customHeight="1" x14ac:dyDescent="0.2">
      <c r="A9" s="8"/>
      <c r="C9" s="34" t="s">
        <v>148</v>
      </c>
      <c r="E9" s="7"/>
      <c r="F9" s="7"/>
      <c r="G9" s="7"/>
      <c r="H9" s="7"/>
      <c r="I9" s="8"/>
      <c r="J9" s="8"/>
      <c r="K9" s="8"/>
      <c r="L9" s="8"/>
      <c r="V9" s="41" t="s">
        <v>90</v>
      </c>
      <c r="W9" s="53">
        <v>1.25</v>
      </c>
      <c r="X9" s="53">
        <v>1.25</v>
      </c>
      <c r="Y9" s="53">
        <v>1.6</v>
      </c>
      <c r="Z9" s="53">
        <v>1.6</v>
      </c>
    </row>
    <row r="10" spans="1:29" ht="12.95" customHeight="1" x14ac:dyDescent="0.2">
      <c r="A10" s="8"/>
      <c r="B10" s="94" t="s">
        <v>147</v>
      </c>
      <c r="C10" s="94"/>
      <c r="D10" s="94"/>
      <c r="E10" s="94"/>
      <c r="F10" s="94"/>
      <c r="G10" s="94"/>
      <c r="H10" s="94"/>
      <c r="I10" s="94"/>
      <c r="J10" s="94"/>
      <c r="K10" s="8"/>
      <c r="L10" s="8"/>
      <c r="X10" s="6"/>
    </row>
    <row r="11" spans="1:29" ht="12.95" customHeight="1" x14ac:dyDescent="0.2">
      <c r="A11" s="8"/>
      <c r="B11" s="94"/>
      <c r="C11" s="94"/>
      <c r="D11" s="94"/>
      <c r="E11" s="94"/>
      <c r="F11" s="94"/>
      <c r="G11" s="94"/>
      <c r="H11" s="94"/>
      <c r="I11" s="94"/>
      <c r="J11" s="94"/>
      <c r="K11" s="8"/>
      <c r="L11" s="8"/>
    </row>
    <row r="12" spans="1:29" ht="12.95" customHeight="1" x14ac:dyDescent="0.2">
      <c r="A12" s="8"/>
      <c r="B12" s="94"/>
      <c r="C12" s="94"/>
      <c r="D12" s="94"/>
      <c r="E12" s="94"/>
      <c r="F12" s="94"/>
      <c r="G12" s="94"/>
      <c r="H12" s="94"/>
      <c r="I12" s="94"/>
      <c r="J12" s="94"/>
      <c r="K12" s="8"/>
      <c r="L12" s="8"/>
    </row>
    <row r="13" spans="1:29" ht="12.95" customHeight="1" x14ac:dyDescent="0.2">
      <c r="A13" s="22"/>
      <c r="B13" s="94"/>
      <c r="C13" s="94"/>
      <c r="D13" s="94"/>
      <c r="E13" s="94"/>
      <c r="F13" s="94"/>
      <c r="G13" s="94"/>
      <c r="H13" s="94"/>
      <c r="I13" s="94"/>
      <c r="J13" s="94"/>
      <c r="K13" s="8"/>
      <c r="L13" s="8"/>
    </row>
    <row r="14" spans="1:29" ht="12.95" customHeight="1" x14ac:dyDescent="0.2">
      <c r="A14" s="22"/>
      <c r="B14" s="94"/>
      <c r="C14" s="94"/>
      <c r="D14" s="94"/>
      <c r="E14" s="94"/>
      <c r="F14" s="94"/>
      <c r="G14" s="94"/>
      <c r="H14" s="94"/>
      <c r="I14" s="94"/>
      <c r="J14" s="94"/>
      <c r="K14" s="8"/>
      <c r="L14" s="8"/>
    </row>
    <row r="15" spans="1:29" ht="12.95" customHeight="1" x14ac:dyDescent="0.2">
      <c r="A15" s="22"/>
      <c r="B15" s="94"/>
      <c r="C15" s="94"/>
      <c r="D15" s="94"/>
      <c r="E15" s="94"/>
      <c r="F15" s="94"/>
      <c r="G15" s="94"/>
      <c r="H15" s="94"/>
      <c r="I15" s="94"/>
      <c r="J15" s="94"/>
      <c r="K15" s="8"/>
      <c r="L15" s="8"/>
    </row>
    <row r="16" spans="1:29" ht="12.95" customHeight="1" x14ac:dyDescent="0.2">
      <c r="A16" s="22"/>
      <c r="B16" s="50"/>
      <c r="C16" s="50"/>
      <c r="D16" s="50"/>
      <c r="E16" s="50"/>
      <c r="F16" s="50"/>
      <c r="G16" s="50"/>
      <c r="H16" s="50"/>
      <c r="I16" s="50"/>
      <c r="J16" s="50"/>
      <c r="K16" s="8"/>
      <c r="L16" s="8"/>
    </row>
    <row r="17" spans="1:25" ht="12.95" customHeight="1" x14ac:dyDescent="0.2">
      <c r="A17" s="23"/>
      <c r="C17" s="54" t="s">
        <v>47</v>
      </c>
      <c r="D17" s="8"/>
      <c r="E17" s="8"/>
      <c r="F17" s="8"/>
      <c r="G17" s="8"/>
      <c r="H17" s="35"/>
      <c r="I17" s="35"/>
      <c r="J17" s="35"/>
      <c r="K17" s="35"/>
      <c r="L17" s="8"/>
    </row>
    <row r="18" spans="1:25" ht="12.95" customHeight="1" x14ac:dyDescent="0.2">
      <c r="A18" s="8"/>
      <c r="B18" s="8"/>
      <c r="C18" s="8"/>
      <c r="D18" s="8"/>
      <c r="E18" s="8"/>
      <c r="F18" s="8"/>
      <c r="G18" s="8"/>
      <c r="H18" s="35"/>
      <c r="I18" s="35"/>
      <c r="J18" s="35"/>
      <c r="K18" s="35"/>
      <c r="L18" s="35"/>
    </row>
    <row r="19" spans="1:25" ht="12.95" customHeight="1" x14ac:dyDescent="0.2">
      <c r="A19" s="8"/>
      <c r="B19" s="8"/>
      <c r="C19" s="8"/>
      <c r="D19" s="9" t="s">
        <v>62</v>
      </c>
      <c r="E19" s="8"/>
      <c r="F19" s="8"/>
      <c r="G19" s="8"/>
      <c r="H19" s="35"/>
      <c r="I19" s="35"/>
      <c r="J19" s="35"/>
      <c r="K19" s="35"/>
      <c r="L19" s="35"/>
    </row>
    <row r="20" spans="1:25" ht="12.95" customHeight="1" x14ac:dyDescent="0.2">
      <c r="A20" s="8"/>
      <c r="B20" s="8"/>
      <c r="C20" s="8"/>
      <c r="D20" s="9"/>
      <c r="E20" s="8"/>
      <c r="F20" s="8"/>
      <c r="G20" s="8"/>
      <c r="H20" s="35"/>
      <c r="I20" s="35"/>
      <c r="J20" s="35"/>
      <c r="K20" s="35"/>
      <c r="L20" s="35"/>
      <c r="X20" s="56"/>
      <c r="Y20" s="56"/>
    </row>
    <row r="21" spans="1:25" ht="12.95" customHeight="1" x14ac:dyDescent="0.2">
      <c r="A21" s="8"/>
      <c r="B21" s="8"/>
      <c r="C21" s="8"/>
      <c r="D21" s="3" t="s">
        <v>31</v>
      </c>
      <c r="E21" s="3" t="s">
        <v>1</v>
      </c>
      <c r="F21" s="10">
        <v>30</v>
      </c>
      <c r="G21" s="8" t="s">
        <v>0</v>
      </c>
      <c r="H21" s="35"/>
      <c r="I21" s="35"/>
      <c r="J21" s="36"/>
      <c r="K21" s="35"/>
      <c r="L21" s="35"/>
      <c r="X21" s="56"/>
      <c r="Y21" s="56"/>
    </row>
    <row r="22" spans="1:25" ht="12.95" customHeight="1" x14ac:dyDescent="0.2">
      <c r="A22" s="8"/>
      <c r="B22" s="8"/>
      <c r="C22" s="8"/>
      <c r="D22" s="3" t="s">
        <v>32</v>
      </c>
      <c r="E22" s="3" t="s">
        <v>30</v>
      </c>
      <c r="F22" s="10">
        <v>1200</v>
      </c>
      <c r="G22" s="8" t="s">
        <v>66</v>
      </c>
      <c r="H22" s="35"/>
      <c r="I22" s="35"/>
      <c r="J22" s="36"/>
      <c r="K22" s="35"/>
      <c r="L22" s="35"/>
      <c r="X22" s="56"/>
      <c r="Y22" s="56"/>
    </row>
    <row r="23" spans="1:25" ht="12.95" customHeight="1" x14ac:dyDescent="0.2">
      <c r="A23" s="8"/>
      <c r="B23" s="8"/>
      <c r="C23" s="8"/>
      <c r="D23" s="3" t="s">
        <v>63</v>
      </c>
      <c r="E23" s="60" t="s">
        <v>64</v>
      </c>
      <c r="F23" s="10">
        <v>24</v>
      </c>
      <c r="G23" s="8" t="s">
        <v>65</v>
      </c>
      <c r="H23" s="35"/>
      <c r="I23" s="35"/>
      <c r="J23" s="35"/>
      <c r="K23" s="35"/>
      <c r="L23" s="35"/>
      <c r="M23" s="25"/>
      <c r="X23" s="56"/>
      <c r="Y23" s="56"/>
    </row>
    <row r="24" spans="1:25" ht="12.95" customHeight="1" x14ac:dyDescent="0.2">
      <c r="A24" s="8"/>
      <c r="B24" s="8"/>
      <c r="C24" s="8"/>
      <c r="D24" s="3" t="s">
        <v>54</v>
      </c>
      <c r="E24" s="32" t="s">
        <v>55</v>
      </c>
      <c r="F24" s="10">
        <v>10</v>
      </c>
      <c r="G24" s="8" t="s">
        <v>53</v>
      </c>
      <c r="H24" s="35"/>
      <c r="I24" s="35"/>
      <c r="J24" s="35"/>
      <c r="K24" s="35"/>
      <c r="L24" s="35"/>
      <c r="M24" s="26"/>
      <c r="N24" s="57"/>
      <c r="X24" s="56"/>
      <c r="Y24" s="56"/>
    </row>
    <row r="25" spans="1:25" ht="12.95" customHeight="1" x14ac:dyDescent="0.2">
      <c r="A25" s="8"/>
      <c r="B25" s="8"/>
      <c r="C25" s="8"/>
      <c r="D25" s="3" t="s">
        <v>52</v>
      </c>
      <c r="E25" s="32" t="s">
        <v>49</v>
      </c>
      <c r="F25" s="10">
        <v>5</v>
      </c>
      <c r="G25" s="8" t="s">
        <v>53</v>
      </c>
      <c r="H25" s="35"/>
      <c r="I25" s="35"/>
      <c r="J25" s="35"/>
      <c r="K25" s="35"/>
      <c r="L25" s="35"/>
      <c r="M25" s="26"/>
      <c r="N25" s="57"/>
      <c r="X25" s="56"/>
      <c r="Y25" s="56"/>
    </row>
    <row r="26" spans="1:25" ht="12.95" customHeight="1" x14ac:dyDescent="0.2">
      <c r="A26" s="8"/>
      <c r="B26" s="8"/>
      <c r="C26" s="8"/>
      <c r="D26" s="3" t="s">
        <v>56</v>
      </c>
      <c r="E26" s="32" t="s">
        <v>74</v>
      </c>
      <c r="F26" s="10">
        <v>3</v>
      </c>
      <c r="G26" s="8" t="s">
        <v>53</v>
      </c>
      <c r="H26" s="35"/>
      <c r="I26" s="35"/>
      <c r="J26" s="35"/>
      <c r="K26" s="35"/>
      <c r="L26" s="35"/>
      <c r="M26" s="26"/>
      <c r="N26" s="57"/>
      <c r="X26" s="56"/>
      <c r="Y26" s="56"/>
    </row>
    <row r="27" spans="1:25" ht="12.95" customHeight="1" x14ac:dyDescent="0.2">
      <c r="A27" s="8"/>
      <c r="B27" s="8"/>
      <c r="C27" s="8"/>
      <c r="D27" s="3"/>
      <c r="E27" s="3" t="s">
        <v>75</v>
      </c>
      <c r="F27" s="5" t="s">
        <v>78</v>
      </c>
      <c r="G27" s="8"/>
      <c r="H27" s="35"/>
      <c r="I27" s="35"/>
      <c r="J27" s="35"/>
      <c r="K27" s="35"/>
      <c r="L27" s="35"/>
      <c r="M27" s="26"/>
      <c r="N27" s="57"/>
      <c r="X27" s="56"/>
      <c r="Y27" s="56"/>
    </row>
    <row r="28" spans="1:25" ht="12.95" customHeight="1" x14ac:dyDescent="0.2">
      <c r="A28" s="8"/>
      <c r="B28" s="8"/>
      <c r="C28" s="8"/>
      <c r="D28" s="3"/>
      <c r="E28" s="3"/>
      <c r="F28"/>
      <c r="G28" s="8"/>
      <c r="H28" s="35"/>
      <c r="I28" s="35"/>
      <c r="J28" s="35"/>
      <c r="K28" s="35"/>
      <c r="L28" s="35"/>
      <c r="M28" s="26"/>
      <c r="N28" s="57"/>
      <c r="X28" s="56"/>
      <c r="Y28" s="56"/>
    </row>
    <row r="29" spans="1:25" ht="12.95" customHeight="1" x14ac:dyDescent="0.2">
      <c r="A29" s="8"/>
      <c r="B29" s="8"/>
      <c r="C29" s="8"/>
      <c r="D29" s="9" t="s">
        <v>48</v>
      </c>
      <c r="E29" s="3"/>
      <c r="F29" s="11"/>
      <c r="G29" s="8"/>
      <c r="H29" s="35"/>
      <c r="I29" s="35"/>
      <c r="J29" s="35"/>
      <c r="K29" s="35"/>
      <c r="L29" s="35"/>
      <c r="M29" s="26"/>
      <c r="N29" s="57"/>
      <c r="X29" s="56"/>
      <c r="Y29" s="56"/>
    </row>
    <row r="30" spans="1:25" ht="12.95" customHeight="1" x14ac:dyDescent="0.2">
      <c r="A30" s="8"/>
      <c r="B30" s="8"/>
      <c r="C30" s="8"/>
      <c r="D30" s="9"/>
      <c r="E30" s="3"/>
      <c r="F30" s="11"/>
      <c r="G30" s="8"/>
      <c r="H30" s="35"/>
      <c r="I30" s="35"/>
      <c r="J30" s="35"/>
      <c r="K30" s="35"/>
      <c r="L30" s="35"/>
      <c r="M30" s="26"/>
      <c r="N30" s="57"/>
      <c r="X30" s="56"/>
      <c r="Y30" s="56"/>
    </row>
    <row r="31" spans="1:25" ht="12.95" customHeight="1" x14ac:dyDescent="0.2">
      <c r="A31" s="8"/>
      <c r="B31" s="8"/>
      <c r="C31" s="8"/>
      <c r="D31" s="3" t="s">
        <v>34</v>
      </c>
      <c r="E31" s="3" t="s">
        <v>35</v>
      </c>
      <c r="F31" s="5">
        <v>2000</v>
      </c>
      <c r="G31" s="8" t="s">
        <v>25</v>
      </c>
      <c r="H31" s="35"/>
      <c r="I31" s="35"/>
      <c r="J31" s="35"/>
      <c r="K31" s="35"/>
      <c r="L31" s="35"/>
      <c r="M31" s="26"/>
      <c r="N31" s="57"/>
      <c r="X31" s="56"/>
      <c r="Y31" s="56"/>
    </row>
    <row r="32" spans="1:25" ht="12.95" customHeight="1" x14ac:dyDescent="0.2">
      <c r="A32" s="8"/>
      <c r="B32" s="8"/>
      <c r="C32" s="8"/>
      <c r="D32" s="3" t="s">
        <v>72</v>
      </c>
      <c r="E32" s="3" t="s">
        <v>36</v>
      </c>
      <c r="F32" s="37">
        <v>1000</v>
      </c>
      <c r="G32" s="8" t="s">
        <v>25</v>
      </c>
      <c r="H32" s="35"/>
      <c r="I32" s="35"/>
      <c r="J32" s="35"/>
      <c r="K32" s="35"/>
      <c r="L32" s="35"/>
      <c r="M32" s="26"/>
      <c r="X32" s="56"/>
      <c r="Y32" s="56"/>
    </row>
    <row r="33" spans="1:25" ht="12.95" customHeight="1" x14ac:dyDescent="0.2">
      <c r="A33" s="8"/>
      <c r="B33" s="8"/>
      <c r="C33" s="8"/>
      <c r="D33" s="3" t="s">
        <v>136</v>
      </c>
      <c r="E33" s="3" t="s">
        <v>137</v>
      </c>
      <c r="F33" s="37">
        <v>1000</v>
      </c>
      <c r="G33" s="8" t="s">
        <v>25</v>
      </c>
      <c r="H33" s="35"/>
      <c r="I33" s="35"/>
      <c r="J33" s="35"/>
      <c r="K33" s="35"/>
      <c r="L33" s="35"/>
      <c r="M33" s="26"/>
      <c r="S33" s="62"/>
      <c r="X33" s="56"/>
      <c r="Y33" s="56"/>
    </row>
    <row r="34" spans="1:25" ht="12.95" customHeight="1" x14ac:dyDescent="0.2">
      <c r="A34" s="8"/>
      <c r="B34" s="8"/>
      <c r="C34" s="8"/>
      <c r="D34" s="3"/>
      <c r="E34" s="3"/>
      <c r="F34"/>
      <c r="G34" s="8"/>
      <c r="H34" s="35"/>
      <c r="I34" s="35"/>
      <c r="J34" s="35"/>
      <c r="K34" s="35"/>
      <c r="L34" s="35"/>
      <c r="M34" s="26"/>
      <c r="U34" s="56"/>
      <c r="V34" s="56"/>
    </row>
    <row r="35" spans="1:25" ht="12.95" customHeight="1" x14ac:dyDescent="0.2">
      <c r="A35" s="8"/>
      <c r="B35" s="8"/>
      <c r="C35" s="8"/>
      <c r="D35" s="9" t="s">
        <v>51</v>
      </c>
      <c r="E35" s="32"/>
      <c r="F35"/>
      <c r="G35" s="8"/>
      <c r="I35" s="8"/>
      <c r="J35" s="35"/>
      <c r="K35" s="35"/>
      <c r="L35" s="35"/>
      <c r="M35" s="26"/>
      <c r="N35" s="62"/>
      <c r="O35" s="62"/>
      <c r="P35" s="62"/>
      <c r="Q35" s="62"/>
      <c r="R35" s="62"/>
      <c r="U35" s="56"/>
      <c r="V35" s="56"/>
    </row>
    <row r="36" spans="1:25" ht="12.95" customHeight="1" x14ac:dyDescent="0.2">
      <c r="A36" s="8"/>
      <c r="B36" s="39"/>
      <c r="F36"/>
      <c r="G36" s="58"/>
      <c r="H36" s="59"/>
      <c r="J36" s="35"/>
      <c r="K36" s="35"/>
      <c r="L36" s="35"/>
      <c r="M36" s="26"/>
      <c r="N36" s="62"/>
      <c r="O36" s="62"/>
      <c r="P36" s="62"/>
      <c r="Q36" s="62"/>
      <c r="R36" s="62"/>
      <c r="S36" s="56"/>
      <c r="T36" s="56"/>
    </row>
    <row r="37" spans="1:25" ht="12.95" customHeight="1" x14ac:dyDescent="0.2">
      <c r="C37" s="92" t="s">
        <v>60</v>
      </c>
      <c r="D37" s="92" t="s">
        <v>71</v>
      </c>
      <c r="E37" s="72" t="s">
        <v>57</v>
      </c>
      <c r="F37" s="73"/>
      <c r="G37" s="92" t="s">
        <v>166</v>
      </c>
      <c r="H37" s="92" t="s">
        <v>76</v>
      </c>
      <c r="I37" s="92" t="s">
        <v>61</v>
      </c>
      <c r="K37" s="35"/>
      <c r="L37" s="62"/>
      <c r="M37" s="62"/>
      <c r="N37" s="62"/>
      <c r="O37" s="62"/>
      <c r="P37" s="62"/>
      <c r="S37" s="56"/>
      <c r="T37" s="56"/>
    </row>
    <row r="38" spans="1:25" ht="12.95" customHeight="1" x14ac:dyDescent="0.2">
      <c r="C38" s="93"/>
      <c r="D38" s="93"/>
      <c r="E38" s="65" t="s">
        <v>58</v>
      </c>
      <c r="F38" s="65" t="s">
        <v>59</v>
      </c>
      <c r="G38" s="93"/>
      <c r="H38" s="93"/>
      <c r="I38" s="93"/>
      <c r="K38" s="35"/>
      <c r="L38" s="62"/>
      <c r="M38" s="62"/>
      <c r="N38" s="62"/>
      <c r="O38" s="62"/>
      <c r="P38" s="62"/>
      <c r="S38" s="56"/>
      <c r="T38" s="56"/>
    </row>
    <row r="39" spans="1:25" ht="12.95" customHeight="1" x14ac:dyDescent="0.2">
      <c r="C39" s="48">
        <f>F24</f>
        <v>10</v>
      </c>
      <c r="D39" s="48" t="s">
        <v>67</v>
      </c>
      <c r="E39" s="48">
        <v>0</v>
      </c>
      <c r="F39" s="48">
        <v>0</v>
      </c>
      <c r="G39" s="89">
        <v>27</v>
      </c>
      <c r="H39" s="48">
        <v>17</v>
      </c>
      <c r="I39" s="48"/>
      <c r="J39" s="26"/>
      <c r="L39" s="62"/>
      <c r="M39" s="62"/>
      <c r="N39" s="62"/>
      <c r="O39" s="62"/>
      <c r="P39" s="62"/>
      <c r="S39" s="56"/>
      <c r="T39" s="56"/>
    </row>
    <row r="40" spans="1:25" ht="12.95" customHeight="1" x14ac:dyDescent="0.2">
      <c r="C40" s="61">
        <v>7</v>
      </c>
      <c r="D40" s="61" t="s">
        <v>68</v>
      </c>
      <c r="E40" s="61">
        <v>60</v>
      </c>
      <c r="F40" s="61">
        <v>70</v>
      </c>
      <c r="G40" s="90">
        <v>22</v>
      </c>
      <c r="H40" s="61">
        <v>18</v>
      </c>
      <c r="I40" s="61"/>
      <c r="J40" s="26"/>
      <c r="L40" s="62"/>
      <c r="M40" s="62"/>
      <c r="N40" s="62"/>
      <c r="O40" s="62"/>
      <c r="P40" s="62"/>
      <c r="S40" s="56"/>
      <c r="T40" s="56"/>
    </row>
    <row r="41" spans="1:25" ht="12.95" customHeight="1" x14ac:dyDescent="0.2">
      <c r="C41" s="48">
        <v>-10</v>
      </c>
      <c r="D41" s="61" t="s">
        <v>68</v>
      </c>
      <c r="E41" s="48">
        <v>75</v>
      </c>
      <c r="F41" s="48">
        <v>90</v>
      </c>
      <c r="G41" s="89">
        <v>24</v>
      </c>
      <c r="H41" s="48">
        <v>20</v>
      </c>
      <c r="I41" s="48"/>
      <c r="J41" s="26"/>
      <c r="L41" s="62"/>
      <c r="M41" s="62"/>
      <c r="N41" s="62"/>
      <c r="O41" s="62"/>
      <c r="P41" s="62"/>
      <c r="S41" s="56"/>
      <c r="T41" s="56"/>
    </row>
    <row r="42" spans="1:25" ht="12.95" customHeight="1" x14ac:dyDescent="0.2">
      <c r="C42" s="61">
        <v>-15</v>
      </c>
      <c r="D42" s="61" t="s">
        <v>69</v>
      </c>
      <c r="E42" s="61">
        <v>0</v>
      </c>
      <c r="F42" s="61">
        <v>0</v>
      </c>
      <c r="G42" s="90">
        <v>30</v>
      </c>
      <c r="H42" s="61">
        <v>18</v>
      </c>
      <c r="I42" s="61"/>
      <c r="J42" s="26"/>
      <c r="L42" s="62"/>
      <c r="M42" s="62"/>
      <c r="N42" s="62"/>
      <c r="O42" s="62"/>
      <c r="P42" s="62"/>
      <c r="S42" s="62"/>
      <c r="V42" s="56"/>
      <c r="W42" s="56"/>
    </row>
    <row r="43" spans="1:25" ht="12.95" customHeight="1" x14ac:dyDescent="0.2">
      <c r="C43" s="48">
        <v>-20</v>
      </c>
      <c r="D43" s="61" t="s">
        <v>69</v>
      </c>
      <c r="E43" s="48">
        <v>0</v>
      </c>
      <c r="F43" s="48">
        <v>0</v>
      </c>
      <c r="G43" s="89">
        <v>32</v>
      </c>
      <c r="H43" s="48">
        <v>19</v>
      </c>
      <c r="I43" s="48"/>
      <c r="J43" s="26"/>
      <c r="L43" s="62"/>
      <c r="M43" s="62"/>
      <c r="N43" s="62"/>
      <c r="O43" s="62"/>
      <c r="P43" s="62"/>
      <c r="S43" s="62"/>
      <c r="V43" s="56"/>
      <c r="W43" s="56"/>
    </row>
    <row r="44" spans="1:25" ht="12.95" customHeight="1" x14ac:dyDescent="0.2">
      <c r="C44" s="61">
        <v>-25</v>
      </c>
      <c r="D44" s="61" t="s">
        <v>69</v>
      </c>
      <c r="E44" s="61">
        <v>0</v>
      </c>
      <c r="F44" s="61">
        <v>0</v>
      </c>
      <c r="G44" s="90">
        <v>34</v>
      </c>
      <c r="H44" s="61">
        <v>20</v>
      </c>
      <c r="I44" s="61"/>
      <c r="J44" s="26"/>
      <c r="L44" s="62"/>
      <c r="M44" s="62"/>
      <c r="N44" s="62"/>
      <c r="O44" s="62"/>
      <c r="P44" s="62"/>
      <c r="S44" s="62"/>
      <c r="V44" s="56"/>
      <c r="W44" s="56"/>
    </row>
    <row r="45" spans="1:25" ht="12.95" customHeight="1" x14ac:dyDescent="0.2">
      <c r="A45" s="8"/>
      <c r="B45" s="8"/>
      <c r="C45" s="8"/>
      <c r="D45" s="3"/>
      <c r="E45" s="3"/>
      <c r="F45"/>
      <c r="G45" s="8"/>
      <c r="H45" s="4"/>
      <c r="I45" s="8"/>
      <c r="J45" s="8"/>
      <c r="K45" s="8"/>
      <c r="O45" s="62"/>
      <c r="P45" s="62"/>
      <c r="Q45" s="62"/>
      <c r="R45" s="62"/>
      <c r="S45" s="62"/>
      <c r="V45" s="56"/>
      <c r="W45" s="56"/>
    </row>
    <row r="46" spans="1:25" ht="12.95" customHeight="1" x14ac:dyDescent="0.2">
      <c r="A46" s="8"/>
      <c r="B46" s="8"/>
      <c r="C46" s="8"/>
      <c r="D46" s="9" t="s">
        <v>151</v>
      </c>
      <c r="H46" s="4"/>
      <c r="I46" s="8"/>
      <c r="J46" s="8"/>
      <c r="K46" s="8"/>
      <c r="O46" s="62"/>
      <c r="P46" s="62"/>
      <c r="Q46" s="62"/>
      <c r="R46" s="62"/>
      <c r="S46" s="62"/>
      <c r="V46" s="56"/>
      <c r="W46" s="56"/>
    </row>
    <row r="47" spans="1:25" ht="12.95" customHeight="1" x14ac:dyDescent="0.2">
      <c r="A47" s="8"/>
      <c r="B47" s="8"/>
      <c r="C47" s="8"/>
      <c r="D47" s="9"/>
      <c r="H47" s="4"/>
      <c r="I47" s="8"/>
      <c r="J47" s="8"/>
      <c r="K47" s="8"/>
      <c r="O47" s="62"/>
      <c r="P47" s="62"/>
      <c r="Q47" s="62"/>
      <c r="R47" s="62"/>
      <c r="S47" s="62"/>
      <c r="V47" s="56"/>
      <c r="W47" s="56"/>
    </row>
    <row r="48" spans="1:25" ht="12.95" customHeight="1" x14ac:dyDescent="0.3">
      <c r="A48" s="8"/>
      <c r="B48" s="8"/>
      <c r="C48" s="8"/>
      <c r="D48" s="3" t="s">
        <v>86</v>
      </c>
      <c r="E48" s="32" t="s">
        <v>80</v>
      </c>
      <c r="F48" s="61">
        <v>4000</v>
      </c>
      <c r="G48" s="8" t="s">
        <v>70</v>
      </c>
      <c r="H48" s="4"/>
      <c r="I48" s="8"/>
      <c r="J48" s="8"/>
      <c r="K48" s="8"/>
      <c r="O48" s="62"/>
      <c r="P48" s="62"/>
      <c r="Q48" s="62"/>
      <c r="R48" s="62"/>
      <c r="S48" s="62"/>
      <c r="V48" s="56"/>
      <c r="W48" s="56"/>
    </row>
    <row r="49" spans="1:23" ht="12.95" customHeight="1" x14ac:dyDescent="0.3">
      <c r="A49" s="8"/>
      <c r="B49" s="8"/>
      <c r="C49" s="8"/>
      <c r="D49" s="3" t="s">
        <v>106</v>
      </c>
      <c r="E49" s="32" t="s">
        <v>107</v>
      </c>
      <c r="F49" s="61">
        <v>100</v>
      </c>
      <c r="G49" s="8" t="s">
        <v>70</v>
      </c>
      <c r="H49" s="4"/>
      <c r="I49" s="8"/>
      <c r="J49" s="8"/>
      <c r="K49" s="8"/>
      <c r="O49" s="62"/>
      <c r="P49" s="62"/>
      <c r="Q49" s="62"/>
      <c r="R49" s="62"/>
      <c r="S49" s="62"/>
      <c r="V49" s="56"/>
      <c r="W49" s="56"/>
    </row>
    <row r="50" spans="1:23" ht="12.95" customHeight="1" x14ac:dyDescent="0.3">
      <c r="A50" s="8"/>
      <c r="B50" s="8"/>
      <c r="C50" s="8"/>
      <c r="D50" s="3" t="s">
        <v>109</v>
      </c>
      <c r="E50" s="32" t="s">
        <v>108</v>
      </c>
      <c r="F50" s="61">
        <v>70</v>
      </c>
      <c r="G50" s="8" t="s">
        <v>70</v>
      </c>
      <c r="H50" s="4"/>
      <c r="I50" s="8"/>
      <c r="J50" s="8"/>
      <c r="K50" s="8"/>
      <c r="O50" s="62"/>
      <c r="P50" s="62"/>
      <c r="Q50" s="62"/>
      <c r="R50" s="62"/>
      <c r="S50" s="62"/>
      <c r="V50" s="56"/>
      <c r="W50" s="56"/>
    </row>
    <row r="51" spans="1:23" ht="12.95" customHeight="1" x14ac:dyDescent="0.2">
      <c r="A51" s="8"/>
      <c r="B51" s="8"/>
      <c r="C51" s="8"/>
      <c r="D51" s="3"/>
      <c r="E51" s="32"/>
      <c r="F51"/>
      <c r="G51" s="8"/>
      <c r="H51" s="4"/>
      <c r="I51" s="8"/>
      <c r="J51" s="8"/>
      <c r="K51" s="8"/>
      <c r="O51" s="62"/>
      <c r="P51" s="62"/>
      <c r="Q51" s="62"/>
      <c r="R51" s="62"/>
      <c r="S51" s="62"/>
      <c r="V51" s="56"/>
      <c r="W51" s="56"/>
    </row>
    <row r="52" spans="1:23" ht="12.95" customHeight="1" x14ac:dyDescent="0.2">
      <c r="A52" s="8"/>
      <c r="B52" s="8"/>
      <c r="C52" s="8"/>
      <c r="D52" s="3"/>
      <c r="E52" s="3" t="s">
        <v>73</v>
      </c>
      <c r="F52" s="55">
        <f>F24-F21</f>
        <v>-20</v>
      </c>
      <c r="G52" s="8" t="s">
        <v>53</v>
      </c>
      <c r="H52" s="4"/>
      <c r="I52" s="8"/>
      <c r="J52" s="8"/>
      <c r="K52" s="8"/>
      <c r="O52" s="62"/>
      <c r="P52" s="62"/>
      <c r="Q52" s="62"/>
      <c r="R52" s="62"/>
      <c r="S52" s="62"/>
      <c r="V52" s="56"/>
      <c r="W52" s="56"/>
    </row>
    <row r="53" spans="1:23" ht="12.95" customHeight="1" x14ac:dyDescent="0.2">
      <c r="A53" s="8"/>
      <c r="B53" s="8"/>
      <c r="C53" s="8"/>
      <c r="D53" s="3"/>
      <c r="E53" s="32"/>
      <c r="F53"/>
      <c r="G53" s="8"/>
      <c r="H53" s="4"/>
      <c r="I53" s="8"/>
      <c r="J53" s="8"/>
      <c r="K53" s="8"/>
      <c r="O53" s="62"/>
      <c r="P53" s="62"/>
      <c r="Q53" s="62"/>
      <c r="R53" s="62"/>
      <c r="S53" s="62"/>
      <c r="V53" s="56"/>
      <c r="W53" s="56"/>
    </row>
    <row r="54" spans="1:23" ht="12.95" customHeight="1" x14ac:dyDescent="0.2">
      <c r="A54" s="8"/>
      <c r="B54" s="8"/>
      <c r="C54" s="8"/>
      <c r="D54" s="3"/>
      <c r="E54" s="32"/>
      <c r="F54"/>
      <c r="G54" s="8"/>
      <c r="H54" s="4"/>
      <c r="I54" s="8"/>
      <c r="J54" s="8"/>
      <c r="K54" s="8"/>
      <c r="O54" s="62"/>
      <c r="P54" s="62"/>
      <c r="Q54" s="62"/>
      <c r="R54" s="62"/>
      <c r="S54" s="62"/>
      <c r="V54" s="56"/>
      <c r="W54" s="56"/>
    </row>
    <row r="55" spans="1:23" ht="12.95" customHeight="1" x14ac:dyDescent="0.2">
      <c r="A55" s="8"/>
      <c r="B55" s="8"/>
      <c r="C55" s="8"/>
      <c r="D55" s="3"/>
      <c r="E55" s="32"/>
      <c r="F55"/>
      <c r="G55" s="8"/>
      <c r="H55" s="4"/>
      <c r="I55" s="8"/>
      <c r="J55" s="8"/>
      <c r="K55" s="8"/>
      <c r="O55" s="62"/>
      <c r="P55" s="62"/>
      <c r="Q55" s="62"/>
      <c r="R55" s="62"/>
      <c r="S55" s="62"/>
      <c r="U55"/>
      <c r="V55"/>
    </row>
    <row r="56" spans="1:23" ht="12.95" customHeight="1" x14ac:dyDescent="0.2">
      <c r="A56" s="8"/>
      <c r="B56" s="8"/>
      <c r="C56" s="8"/>
      <c r="D56" s="3"/>
      <c r="E56" s="32"/>
      <c r="F56"/>
      <c r="G56" s="8"/>
      <c r="H56" s="4"/>
      <c r="I56" s="8"/>
      <c r="J56" s="8"/>
      <c r="K56" s="8"/>
      <c r="O56" s="62"/>
      <c r="P56" s="62"/>
      <c r="Q56" s="62"/>
      <c r="R56" s="62"/>
      <c r="S56" s="62"/>
      <c r="U56"/>
      <c r="V56"/>
    </row>
    <row r="57" spans="1:23" ht="12.95" customHeight="1" x14ac:dyDescent="0.2">
      <c r="A57" s="8"/>
      <c r="B57" s="8"/>
      <c r="C57" s="8"/>
      <c r="D57" s="3"/>
      <c r="E57" s="32"/>
      <c r="F57"/>
      <c r="G57" s="8"/>
      <c r="H57" s="4"/>
      <c r="I57" s="8"/>
      <c r="J57" s="8"/>
      <c r="K57" s="8"/>
      <c r="L57" s="8"/>
      <c r="O57" s="62"/>
      <c r="P57" s="62"/>
      <c r="Q57" s="62"/>
      <c r="R57" s="62"/>
      <c r="S57" s="62"/>
      <c r="U57"/>
      <c r="V57"/>
    </row>
    <row r="58" spans="1:23" ht="12.95" customHeight="1" x14ac:dyDescent="0.2">
      <c r="A58" s="8"/>
      <c r="B58" s="8"/>
      <c r="C58" s="8"/>
      <c r="D58" s="7" t="s">
        <v>152</v>
      </c>
      <c r="E58" s="3"/>
      <c r="F58"/>
      <c r="G58" s="8"/>
      <c r="H58" s="8"/>
      <c r="I58" s="8"/>
      <c r="J58" s="8"/>
      <c r="K58" s="8"/>
      <c r="L58" s="8"/>
      <c r="O58" s="62"/>
      <c r="P58" s="62"/>
      <c r="Q58" s="62"/>
      <c r="R58" s="62"/>
      <c r="S58" s="62"/>
      <c r="U58"/>
      <c r="V58"/>
    </row>
    <row r="59" spans="1:23" ht="12.95" customHeight="1" x14ac:dyDescent="0.2">
      <c r="A59" s="8"/>
      <c r="B59" s="8"/>
      <c r="C59" s="8"/>
      <c r="D59" s="7"/>
      <c r="E59" s="3"/>
      <c r="F59"/>
      <c r="G59" s="8"/>
      <c r="H59" s="8"/>
      <c r="I59" s="8"/>
      <c r="J59" s="8"/>
      <c r="K59" s="8"/>
      <c r="L59" s="8"/>
      <c r="O59" s="62"/>
      <c r="P59" s="62"/>
      <c r="Q59" s="62"/>
      <c r="R59" s="62"/>
      <c r="S59" s="62"/>
      <c r="U59"/>
      <c r="V59"/>
    </row>
    <row r="60" spans="1:23" ht="12.95" customHeight="1" x14ac:dyDescent="0.2">
      <c r="A60" s="8"/>
      <c r="B60" s="8"/>
      <c r="D60" s="7" t="s">
        <v>27</v>
      </c>
      <c r="G60" s="8"/>
      <c r="H60" s="8"/>
      <c r="I60" s="8"/>
      <c r="J60" s="8"/>
      <c r="K60" s="8"/>
      <c r="L60" s="8"/>
      <c r="O60" s="62"/>
      <c r="P60" s="62"/>
      <c r="Q60" s="62"/>
      <c r="R60" s="62"/>
      <c r="S60" s="62"/>
    </row>
    <row r="61" spans="1:23" ht="12.95" customHeight="1" x14ac:dyDescent="0.2">
      <c r="A61" s="8"/>
      <c r="B61" s="8"/>
      <c r="G61" s="8"/>
      <c r="H61" s="8"/>
      <c r="I61" s="8"/>
      <c r="J61" s="8"/>
      <c r="K61" s="8"/>
      <c r="L61" s="8"/>
      <c r="O61" s="62"/>
      <c r="P61" s="62"/>
      <c r="Q61" s="62"/>
      <c r="R61" s="62"/>
      <c r="S61" s="62"/>
    </row>
    <row r="62" spans="1:23" ht="12.95" customHeight="1" x14ac:dyDescent="0.2">
      <c r="A62" s="8"/>
      <c r="B62" s="8"/>
      <c r="D62" s="3" t="s">
        <v>155</v>
      </c>
      <c r="E62" s="3" t="s">
        <v>159</v>
      </c>
      <c r="F62" s="86">
        <f>'EC7 (DA1-1)'!F31</f>
        <v>4200</v>
      </c>
      <c r="G62" s="8" t="s">
        <v>25</v>
      </c>
      <c r="H62" s="8"/>
      <c r="I62" s="8"/>
      <c r="J62" s="8"/>
      <c r="K62" s="8"/>
      <c r="L62" s="8"/>
      <c r="O62" s="62"/>
      <c r="P62" s="62"/>
      <c r="Q62" s="62"/>
      <c r="R62" s="62"/>
      <c r="S62" s="62"/>
    </row>
    <row r="63" spans="1:23" ht="12.95" customHeight="1" x14ac:dyDescent="0.2">
      <c r="A63" s="8"/>
      <c r="B63" s="8"/>
      <c r="D63" s="3" t="s">
        <v>156</v>
      </c>
      <c r="E63" s="3" t="s">
        <v>160</v>
      </c>
      <c r="F63" s="86">
        <f>'EC7 (DA1-1)'!F32</f>
        <v>1500</v>
      </c>
      <c r="G63" s="8" t="s">
        <v>25</v>
      </c>
      <c r="H63" s="8"/>
      <c r="I63" s="8"/>
      <c r="J63" s="8"/>
      <c r="K63" s="8"/>
      <c r="L63" s="8"/>
      <c r="O63" s="62"/>
      <c r="P63" s="62"/>
      <c r="Q63" s="62"/>
      <c r="R63" s="62"/>
      <c r="S63" s="62"/>
    </row>
    <row r="64" spans="1:23" ht="12.95" customHeight="1" x14ac:dyDescent="0.2">
      <c r="A64" s="8"/>
      <c r="B64" s="8"/>
      <c r="G64" s="8"/>
      <c r="H64" s="8"/>
      <c r="I64" s="8"/>
      <c r="J64" s="8"/>
      <c r="K64" s="8"/>
      <c r="L64" s="27"/>
      <c r="M64" s="26"/>
      <c r="O64" s="62"/>
      <c r="P64" s="62"/>
      <c r="Q64" s="62"/>
      <c r="R64" s="62"/>
      <c r="S64" s="62"/>
    </row>
    <row r="65" spans="1:19" ht="12.95" customHeight="1" x14ac:dyDescent="0.2">
      <c r="A65" s="8"/>
      <c r="B65" s="8"/>
      <c r="E65" s="39" t="s">
        <v>132</v>
      </c>
      <c r="G65" s="8"/>
      <c r="H65" s="8"/>
      <c r="I65" s="8"/>
      <c r="J65" s="8"/>
      <c r="K65" s="8"/>
      <c r="L65" s="27"/>
      <c r="M65" s="27"/>
      <c r="O65" s="62"/>
      <c r="P65" s="62"/>
      <c r="Q65" s="62"/>
      <c r="R65" s="62"/>
      <c r="S65" s="62"/>
    </row>
    <row r="66" spans="1:19" ht="12.95" customHeight="1" x14ac:dyDescent="0.2">
      <c r="A66" s="8"/>
      <c r="B66" s="8"/>
      <c r="D66" s="3" t="s">
        <v>153</v>
      </c>
      <c r="E66" s="3" t="s">
        <v>157</v>
      </c>
      <c r="F66" s="62">
        <f>'EC7 (DA1-1)'!F40</f>
        <v>4067.46966874797</v>
      </c>
      <c r="G66" s="8" t="s">
        <v>25</v>
      </c>
      <c r="H66" s="8"/>
      <c r="I66" s="8"/>
      <c r="J66" s="8"/>
      <c r="K66" s="8"/>
      <c r="L66" s="27"/>
      <c r="O66" s="62"/>
      <c r="P66" s="62"/>
      <c r="Q66" s="62"/>
      <c r="R66" s="62"/>
      <c r="S66" s="62"/>
    </row>
    <row r="67" spans="1:19" ht="12.95" customHeight="1" x14ac:dyDescent="0.2">
      <c r="A67" s="8"/>
      <c r="B67" s="8"/>
      <c r="D67" s="3" t="s">
        <v>154</v>
      </c>
      <c r="E67" s="3" t="s">
        <v>158</v>
      </c>
      <c r="F67" s="62">
        <f>'EC7 (DA1-1)'!F41</f>
        <v>1018.2845010410085</v>
      </c>
      <c r="G67" s="8" t="s">
        <v>25</v>
      </c>
      <c r="H67" s="8"/>
      <c r="I67" s="8"/>
      <c r="J67" s="8"/>
      <c r="K67" s="8"/>
      <c r="L67" s="27"/>
      <c r="O67" s="62"/>
      <c r="P67" s="62"/>
      <c r="Q67" s="62"/>
      <c r="R67" s="62"/>
      <c r="S67" s="62"/>
    </row>
    <row r="68" spans="1:19" ht="12.95" customHeight="1" x14ac:dyDescent="0.2">
      <c r="A68" s="8"/>
      <c r="B68" s="8"/>
      <c r="D68" s="3"/>
      <c r="E68" s="8"/>
      <c r="F68" s="8"/>
      <c r="G68" s="8"/>
      <c r="H68" s="8"/>
      <c r="I68" s="8"/>
      <c r="J68" s="24"/>
      <c r="K68" s="8"/>
      <c r="L68" s="27"/>
      <c r="S68" s="62"/>
    </row>
    <row r="69" spans="1:19" ht="12.95" customHeight="1" x14ac:dyDescent="0.2">
      <c r="A69" s="8"/>
      <c r="B69" s="8"/>
      <c r="D69" s="3"/>
      <c r="E69" s="85" t="s">
        <v>161</v>
      </c>
      <c r="F69" s="8"/>
      <c r="G69" s="8"/>
      <c r="H69" s="8"/>
      <c r="I69" s="8"/>
      <c r="J69" s="24"/>
      <c r="K69" s="8"/>
      <c r="L69" s="27"/>
      <c r="S69" s="62"/>
    </row>
    <row r="70" spans="1:19" ht="12.95" customHeight="1" x14ac:dyDescent="0.3">
      <c r="A70" s="8"/>
      <c r="B70" s="8"/>
      <c r="D70" s="3" t="s">
        <v>162</v>
      </c>
      <c r="E70" s="32" t="s">
        <v>141</v>
      </c>
      <c r="F70" s="31">
        <f>'EC7 (DA1-1)'!F42</f>
        <v>0.96844515922570718</v>
      </c>
      <c r="G70" s="8"/>
      <c r="H70" s="8"/>
      <c r="I70" s="8"/>
      <c r="J70" s="24"/>
      <c r="K70" s="8"/>
      <c r="L70" s="27"/>
      <c r="S70" s="62"/>
    </row>
    <row r="71" spans="1:19" ht="12.95" customHeight="1" x14ac:dyDescent="0.3">
      <c r="A71" s="8"/>
      <c r="B71" s="8"/>
      <c r="D71" s="88" t="s">
        <v>163</v>
      </c>
      <c r="E71" s="32" t="s">
        <v>142</v>
      </c>
      <c r="F71" s="87">
        <f>'EC7 (DA1-1)'!F43</f>
        <v>1.0325829918955056</v>
      </c>
      <c r="G71" s="8"/>
      <c r="H71" s="8"/>
      <c r="I71" s="8"/>
      <c r="J71" s="24"/>
      <c r="K71" s="8"/>
      <c r="L71" s="27"/>
      <c r="S71" s="62"/>
    </row>
    <row r="72" spans="1:19" ht="12.95" customHeight="1" x14ac:dyDescent="0.2">
      <c r="A72" s="8"/>
      <c r="B72" s="8"/>
      <c r="D72" s="3"/>
      <c r="E72" s="8" t="str">
        <f>'EC7 (DA1-1)'!D44</f>
        <v>Not Safe: The pile fails to resist the applied compression load for short term</v>
      </c>
      <c r="F72" s="31"/>
      <c r="G72" s="8"/>
      <c r="H72" s="8"/>
      <c r="I72" s="8"/>
      <c r="J72" s="24"/>
      <c r="K72" s="8"/>
      <c r="L72" s="27"/>
    </row>
    <row r="73" spans="1:19" ht="12.95" customHeight="1" x14ac:dyDescent="0.3">
      <c r="A73" s="8"/>
      <c r="B73" s="8"/>
      <c r="D73" s="3" t="s">
        <v>145</v>
      </c>
      <c r="E73" s="32" t="s">
        <v>143</v>
      </c>
      <c r="F73" s="31">
        <f>'EC7 (DA1-1)'!F46</f>
        <v>0.67885633402733903</v>
      </c>
      <c r="G73" s="8"/>
      <c r="H73" s="8"/>
      <c r="I73" s="8"/>
      <c r="J73" s="24"/>
      <c r="K73" s="8"/>
      <c r="L73" s="27"/>
    </row>
    <row r="74" spans="1:19" ht="12.95" customHeight="1" x14ac:dyDescent="0.3">
      <c r="A74" s="8"/>
      <c r="B74" s="8"/>
      <c r="D74" s="3" t="s">
        <v>146</v>
      </c>
      <c r="E74" s="32" t="s">
        <v>144</v>
      </c>
      <c r="F74" s="87">
        <f>'EC7 (DA1-1)'!F47</f>
        <v>1.4730657281599848</v>
      </c>
      <c r="G74" s="8"/>
      <c r="H74" s="8"/>
      <c r="I74" s="8"/>
      <c r="J74" s="24"/>
      <c r="K74" s="8"/>
      <c r="L74" s="27"/>
    </row>
    <row r="75" spans="1:19" ht="12.95" customHeight="1" x14ac:dyDescent="0.2">
      <c r="A75" s="8"/>
      <c r="B75" s="8"/>
      <c r="D75" s="3"/>
      <c r="E75" s="8" t="str">
        <f>'EC7 (DA1-1)'!D48</f>
        <v>Not Safe: The pile fails to resist the applied uplift load for short term</v>
      </c>
      <c r="F75" s="8"/>
      <c r="G75" s="8"/>
      <c r="H75" s="8"/>
      <c r="I75" s="8"/>
      <c r="J75" s="24"/>
      <c r="K75" s="8"/>
      <c r="L75" s="27"/>
    </row>
    <row r="76" spans="1:19" ht="12.95" customHeight="1" x14ac:dyDescent="0.2">
      <c r="A76" s="8"/>
      <c r="B76" s="8"/>
      <c r="D76" s="3"/>
      <c r="E76" s="32"/>
      <c r="F76" s="8"/>
      <c r="G76" s="8"/>
      <c r="H76" s="8"/>
      <c r="I76" s="8"/>
      <c r="J76" s="24"/>
      <c r="K76" s="8"/>
      <c r="L76" s="25"/>
    </row>
    <row r="77" spans="1:19" ht="12.95" customHeight="1" x14ac:dyDescent="0.2">
      <c r="A77" s="8"/>
      <c r="B77" s="8"/>
      <c r="E77" s="39" t="s">
        <v>133</v>
      </c>
      <c r="G77" s="8"/>
      <c r="H77" s="8"/>
      <c r="I77" s="8"/>
      <c r="J77" s="8"/>
      <c r="K77" s="8"/>
      <c r="L77" s="25"/>
    </row>
    <row r="78" spans="1:19" ht="12.95" customHeight="1" x14ac:dyDescent="0.2">
      <c r="A78" s="8"/>
      <c r="B78" s="8"/>
      <c r="D78" s="3" t="s">
        <v>153</v>
      </c>
      <c r="E78" s="3" t="s">
        <v>157</v>
      </c>
      <c r="F78" s="62">
        <f>'EC7 (DA1-1)'!F51</f>
        <v>5211.9608879033285</v>
      </c>
      <c r="G78" s="8" t="s">
        <v>25</v>
      </c>
      <c r="H78" s="8"/>
      <c r="I78" s="8"/>
      <c r="J78" s="8"/>
      <c r="K78" s="8"/>
      <c r="L78" s="25"/>
      <c r="M78" s="27"/>
    </row>
    <row r="79" spans="1:19" ht="12.95" customHeight="1" x14ac:dyDescent="0.2">
      <c r="A79" s="8"/>
      <c r="B79" s="8"/>
      <c r="D79" s="3" t="s">
        <v>154</v>
      </c>
      <c r="E79" s="3" t="s">
        <v>158</v>
      </c>
      <c r="F79" s="62">
        <f>'EC7 (DA1-1)'!F52</f>
        <v>1723.7488885283717</v>
      </c>
      <c r="G79" s="8" t="s">
        <v>25</v>
      </c>
      <c r="H79" s="8"/>
      <c r="I79" s="8"/>
      <c r="J79" s="8"/>
      <c r="K79" s="8"/>
      <c r="M79" s="28"/>
    </row>
    <row r="80" spans="1:19" ht="12.95" customHeight="1" x14ac:dyDescent="0.2">
      <c r="A80" s="8"/>
      <c r="B80" s="8"/>
      <c r="D80" s="3"/>
      <c r="E80" s="8"/>
      <c r="F80" s="8"/>
      <c r="G80" s="8"/>
      <c r="H80" s="8"/>
      <c r="I80" s="8"/>
      <c r="J80" s="24"/>
      <c r="K80" s="8"/>
      <c r="M80" s="28"/>
    </row>
    <row r="81" spans="1:11" ht="12.75" customHeight="1" x14ac:dyDescent="0.2">
      <c r="A81" s="8"/>
      <c r="B81" s="8"/>
      <c r="D81" s="3"/>
      <c r="E81" s="85" t="s">
        <v>161</v>
      </c>
      <c r="F81" s="8"/>
      <c r="G81" s="8"/>
      <c r="H81" s="8"/>
      <c r="I81" s="8"/>
      <c r="J81" s="24"/>
      <c r="K81" s="8"/>
    </row>
    <row r="82" spans="1:11" ht="12.75" customHeight="1" x14ac:dyDescent="0.3">
      <c r="A82" s="8"/>
      <c r="B82" s="8"/>
      <c r="D82" s="3" t="s">
        <v>162</v>
      </c>
      <c r="E82" s="32" t="s">
        <v>141</v>
      </c>
      <c r="F82" s="31">
        <f>'EC7 (DA1-1)'!F53</f>
        <v>1.2409430685484115</v>
      </c>
      <c r="G82" s="8"/>
      <c r="H82" s="8"/>
      <c r="I82" s="8"/>
      <c r="J82" s="24"/>
      <c r="K82" s="8"/>
    </row>
    <row r="83" spans="1:11" ht="12.75" customHeight="1" x14ac:dyDescent="0.3">
      <c r="A83" s="8"/>
      <c r="B83" s="8"/>
      <c r="D83" s="88" t="s">
        <v>163</v>
      </c>
      <c r="E83" s="32" t="s">
        <v>142</v>
      </c>
      <c r="F83" s="87">
        <f>'EC7 (DA1-1)'!F54</f>
        <v>0.80583874099054864</v>
      </c>
      <c r="G83" s="8"/>
      <c r="H83" s="8"/>
      <c r="I83" s="8"/>
      <c r="J83" s="24"/>
      <c r="K83" s="8"/>
    </row>
    <row r="84" spans="1:11" ht="12.75" customHeight="1" x14ac:dyDescent="0.2">
      <c r="A84" s="8"/>
      <c r="B84" s="8"/>
      <c r="D84" s="3"/>
      <c r="E84" s="8" t="str">
        <f>'EC7 (DA1-1)'!D55</f>
        <v>Safe: The pile effectively resists the applied compression load for short term</v>
      </c>
      <c r="F84" s="31"/>
      <c r="G84" s="8"/>
      <c r="H84" s="8"/>
      <c r="I84" s="8"/>
      <c r="J84" s="24"/>
      <c r="K84" s="8"/>
    </row>
    <row r="85" spans="1:11" ht="12.75" customHeight="1" x14ac:dyDescent="0.3">
      <c r="A85" s="8"/>
      <c r="B85" s="8"/>
      <c r="D85" s="3" t="s">
        <v>145</v>
      </c>
      <c r="E85" s="32" t="s">
        <v>143</v>
      </c>
      <c r="F85" s="31">
        <f>'EC7 (DA1-1)'!F57</f>
        <v>1.1491659256855811</v>
      </c>
      <c r="G85" s="8"/>
      <c r="H85" s="8"/>
      <c r="I85" s="8"/>
      <c r="J85" s="24"/>
      <c r="K85" s="8"/>
    </row>
    <row r="86" spans="1:11" ht="12.75" customHeight="1" x14ac:dyDescent="0.3">
      <c r="A86" s="8"/>
      <c r="B86" s="8"/>
      <c r="D86" s="3" t="s">
        <v>146</v>
      </c>
      <c r="E86" s="32" t="s">
        <v>144</v>
      </c>
      <c r="F86" s="87">
        <f>'EC7 (DA1-1)'!F58</f>
        <v>0.87019635515507454</v>
      </c>
      <c r="G86" s="8"/>
      <c r="H86" s="8"/>
      <c r="I86" s="8"/>
      <c r="J86" s="24"/>
      <c r="K86" s="8"/>
    </row>
    <row r="87" spans="1:11" ht="12.75" customHeight="1" x14ac:dyDescent="0.2">
      <c r="A87" s="8"/>
      <c r="B87" s="8"/>
      <c r="D87" s="3"/>
      <c r="E87" s="8" t="str">
        <f>'EC7 (DA1-1)'!D59</f>
        <v>Safe: The pile effectively resists the applied uplift load for short term</v>
      </c>
      <c r="F87" s="8"/>
      <c r="G87" s="8"/>
      <c r="H87" s="8"/>
      <c r="I87" s="8"/>
      <c r="J87" s="24"/>
      <c r="K87" s="8"/>
    </row>
    <row r="88" spans="1:11" ht="12.75" customHeight="1" x14ac:dyDescent="0.2"/>
    <row r="89" spans="1:11" ht="12.75" customHeight="1" x14ac:dyDescent="0.2">
      <c r="A89" s="8"/>
      <c r="B89" s="8"/>
      <c r="D89" s="7" t="s">
        <v>42</v>
      </c>
      <c r="G89" s="8"/>
      <c r="H89" s="8"/>
      <c r="I89" s="8"/>
      <c r="J89" s="8"/>
      <c r="K89" s="8"/>
    </row>
    <row r="90" spans="1:11" ht="12.75" customHeight="1" x14ac:dyDescent="0.2">
      <c r="A90" s="8"/>
      <c r="B90" s="8"/>
      <c r="G90" s="8"/>
      <c r="H90" s="8"/>
      <c r="I90" s="8"/>
      <c r="J90" s="8"/>
      <c r="K90" s="8"/>
    </row>
    <row r="91" spans="1:11" ht="12.75" customHeight="1" x14ac:dyDescent="0.2">
      <c r="A91" s="8"/>
      <c r="B91" s="8"/>
      <c r="D91" s="3" t="s">
        <v>155</v>
      </c>
      <c r="E91" s="3" t="s">
        <v>159</v>
      </c>
      <c r="F91" s="86">
        <f>'EC7 (DA1-2)'!F31</f>
        <v>3300</v>
      </c>
      <c r="G91" s="8" t="s">
        <v>25</v>
      </c>
      <c r="H91" s="8"/>
      <c r="I91" s="8"/>
      <c r="J91" s="8"/>
      <c r="K91" s="8"/>
    </row>
    <row r="92" spans="1:11" ht="12.75" customHeight="1" x14ac:dyDescent="0.2">
      <c r="A92" s="8"/>
      <c r="B92" s="8"/>
      <c r="D92" s="3" t="s">
        <v>156</v>
      </c>
      <c r="E92" s="3" t="s">
        <v>160</v>
      </c>
      <c r="F92" s="86">
        <f>'EC7 (DA1-2)'!F32</f>
        <v>1300</v>
      </c>
      <c r="G92" s="8" t="s">
        <v>25</v>
      </c>
      <c r="H92" s="8"/>
      <c r="I92" s="8"/>
      <c r="J92" s="8"/>
      <c r="K92" s="8"/>
    </row>
    <row r="93" spans="1:11" ht="12.75" customHeight="1" x14ac:dyDescent="0.2">
      <c r="A93" s="8"/>
      <c r="B93" s="8"/>
      <c r="G93" s="8"/>
      <c r="H93" s="8"/>
      <c r="I93" s="8"/>
      <c r="J93" s="8"/>
      <c r="K93" s="8"/>
    </row>
    <row r="94" spans="1:11" ht="12.75" customHeight="1" x14ac:dyDescent="0.2">
      <c r="A94" s="8"/>
      <c r="B94" s="8"/>
      <c r="E94" s="39" t="s">
        <v>132</v>
      </c>
      <c r="G94" s="8"/>
      <c r="H94" s="8"/>
      <c r="I94" s="8"/>
      <c r="J94" s="8"/>
      <c r="K94" s="8"/>
    </row>
    <row r="95" spans="1:11" ht="12.75" customHeight="1" x14ac:dyDescent="0.2">
      <c r="A95" s="8"/>
      <c r="B95" s="8"/>
      <c r="D95" s="3" t="s">
        <v>153</v>
      </c>
      <c r="E95" s="3" t="s">
        <v>157</v>
      </c>
      <c r="F95" s="62">
        <f>'EC7 (DA1-2)'!F40</f>
        <v>1889.3702524648882</v>
      </c>
      <c r="G95" s="8" t="s">
        <v>25</v>
      </c>
      <c r="H95" s="8"/>
      <c r="I95" s="8"/>
      <c r="J95" s="8"/>
      <c r="K95" s="8"/>
    </row>
    <row r="96" spans="1:11" ht="12.75" customHeight="1" x14ac:dyDescent="0.2">
      <c r="A96" s="8"/>
      <c r="B96" s="8"/>
      <c r="D96" s="3" t="s">
        <v>154</v>
      </c>
      <c r="E96" s="3" t="s">
        <v>158</v>
      </c>
      <c r="F96" s="62">
        <f>'EC7 (DA1-2)'!F41</f>
        <v>761.08026822708291</v>
      </c>
      <c r="G96" s="8" t="s">
        <v>25</v>
      </c>
      <c r="H96" s="8"/>
      <c r="I96" s="8"/>
      <c r="J96" s="8"/>
      <c r="K96" s="8"/>
    </row>
    <row r="97" spans="1:11" ht="12.75" customHeight="1" x14ac:dyDescent="0.2">
      <c r="A97" s="8"/>
      <c r="B97" s="8"/>
      <c r="D97" s="3"/>
      <c r="E97" s="8"/>
      <c r="F97" s="8"/>
      <c r="G97" s="8"/>
      <c r="H97" s="8"/>
      <c r="I97" s="8"/>
      <c r="J97" s="24"/>
      <c r="K97" s="8"/>
    </row>
    <row r="98" spans="1:11" ht="12.75" customHeight="1" x14ac:dyDescent="0.2">
      <c r="A98" s="8"/>
      <c r="B98" s="8"/>
      <c r="D98" s="3"/>
      <c r="E98" s="85" t="s">
        <v>161</v>
      </c>
      <c r="F98" s="8"/>
      <c r="G98" s="8"/>
      <c r="H98" s="8"/>
      <c r="I98" s="8"/>
      <c r="J98" s="24"/>
      <c r="K98" s="8"/>
    </row>
    <row r="99" spans="1:11" ht="12.75" customHeight="1" x14ac:dyDescent="0.3">
      <c r="A99" s="8"/>
      <c r="B99" s="8"/>
      <c r="D99" s="3" t="s">
        <v>162</v>
      </c>
      <c r="E99" s="32" t="s">
        <v>141</v>
      </c>
      <c r="F99" s="31">
        <f>'EC7 (DA1-2)'!F46</f>
        <v>0.58544636017467921</v>
      </c>
      <c r="G99" s="8"/>
      <c r="H99" s="8"/>
      <c r="I99" s="8"/>
      <c r="J99" s="24"/>
      <c r="K99" s="8"/>
    </row>
    <row r="100" spans="1:11" ht="12.75" customHeight="1" x14ac:dyDescent="0.3">
      <c r="A100" s="8"/>
      <c r="B100" s="8"/>
      <c r="D100" s="88" t="s">
        <v>163</v>
      </c>
      <c r="E100" s="32" t="s">
        <v>142</v>
      </c>
      <c r="F100" s="87">
        <f>'EC7 (DA1-2)'!F43</f>
        <v>1.746613717292729</v>
      </c>
      <c r="G100" s="8"/>
      <c r="H100" s="8"/>
      <c r="I100" s="8"/>
      <c r="J100" s="24"/>
      <c r="K100" s="8"/>
    </row>
    <row r="101" spans="1:11" ht="12.75" customHeight="1" x14ac:dyDescent="0.2">
      <c r="A101" s="8"/>
      <c r="B101" s="8"/>
      <c r="D101" s="3"/>
      <c r="E101" s="8" t="str">
        <f>'EC7 (DA1-2)'!D44</f>
        <v>Not Safe: The pile fails to resist the applied compression load for long term</v>
      </c>
      <c r="F101" s="31"/>
      <c r="G101" s="8"/>
      <c r="H101" s="8"/>
      <c r="I101" s="8"/>
      <c r="J101" s="24"/>
      <c r="K101" s="8"/>
    </row>
    <row r="102" spans="1:11" ht="12.75" customHeight="1" x14ac:dyDescent="0.3">
      <c r="A102" s="8"/>
      <c r="B102" s="8"/>
      <c r="D102" s="3" t="s">
        <v>145</v>
      </c>
      <c r="E102" s="32" t="s">
        <v>143</v>
      </c>
      <c r="F102" s="31">
        <f>'EC7 (DA1-2)'!F46</f>
        <v>0.58544636017467921</v>
      </c>
      <c r="G102" s="8"/>
      <c r="H102" s="8"/>
      <c r="I102" s="8"/>
      <c r="J102" s="24"/>
      <c r="K102" s="8"/>
    </row>
    <row r="103" spans="1:11" ht="12.75" customHeight="1" x14ac:dyDescent="0.3">
      <c r="A103" s="8"/>
      <c r="B103" s="8"/>
      <c r="D103" s="3" t="s">
        <v>146</v>
      </c>
      <c r="E103" s="32" t="s">
        <v>144</v>
      </c>
      <c r="F103" s="87">
        <f>'EC7 (DA1-2)'!F47</f>
        <v>1.708098415201746</v>
      </c>
      <c r="G103" s="8"/>
      <c r="H103" s="8"/>
      <c r="I103" s="8"/>
      <c r="J103" s="24"/>
      <c r="K103" s="8"/>
    </row>
    <row r="104" spans="1:11" ht="12.75" customHeight="1" x14ac:dyDescent="0.2">
      <c r="A104" s="8"/>
      <c r="B104" s="8"/>
      <c r="D104" s="3"/>
      <c r="E104" s="8" t="str">
        <f>'EC7 (DA1-2)'!D48</f>
        <v>Not Safe: The pile fails to resist the applied uplift load for long term</v>
      </c>
      <c r="F104" s="8"/>
      <c r="G104" s="8"/>
      <c r="H104" s="8"/>
      <c r="I104" s="8"/>
      <c r="J104" s="24"/>
      <c r="K104" s="8"/>
    </row>
    <row r="105" spans="1:11" ht="12.75" customHeight="1" x14ac:dyDescent="0.2">
      <c r="A105" s="8"/>
      <c r="B105" s="8"/>
      <c r="D105" s="3"/>
      <c r="E105" s="32"/>
      <c r="F105" s="8"/>
      <c r="G105" s="8"/>
      <c r="H105" s="8"/>
      <c r="I105" s="8"/>
      <c r="J105" s="24"/>
      <c r="K105" s="8"/>
    </row>
    <row r="106" spans="1:11" ht="12.75" customHeight="1" x14ac:dyDescent="0.2">
      <c r="A106" s="8"/>
      <c r="B106" s="8"/>
      <c r="E106" s="39" t="s">
        <v>133</v>
      </c>
      <c r="G106" s="8"/>
      <c r="H106" s="8"/>
      <c r="I106" s="8"/>
      <c r="J106" s="8"/>
      <c r="K106" s="8"/>
    </row>
    <row r="107" spans="1:11" ht="12.75" customHeight="1" x14ac:dyDescent="0.2">
      <c r="A107" s="8"/>
      <c r="B107" s="8"/>
      <c r="D107" s="3" t="s">
        <v>153</v>
      </c>
      <c r="E107" s="3" t="s">
        <v>157</v>
      </c>
      <c r="F107" s="62">
        <f>'EC7 (DA1-2)'!F51</f>
        <v>2661.7979673419504</v>
      </c>
      <c r="G107" s="8" t="s">
        <v>25</v>
      </c>
      <c r="H107" s="8"/>
      <c r="I107" s="8"/>
      <c r="J107" s="8"/>
      <c r="K107" s="8"/>
    </row>
    <row r="108" spans="1:11" ht="12.75" customHeight="1" x14ac:dyDescent="0.2">
      <c r="A108" s="8"/>
      <c r="B108" s="8"/>
      <c r="D108" s="3" t="s">
        <v>154</v>
      </c>
      <c r="E108" s="3" t="s">
        <v>158</v>
      </c>
      <c r="F108" s="62">
        <f>'EC7 (DA1-2)'!F52</f>
        <v>1246.2614266342375</v>
      </c>
      <c r="G108" s="8" t="s">
        <v>25</v>
      </c>
      <c r="H108" s="8"/>
      <c r="I108" s="8"/>
      <c r="J108" s="8"/>
      <c r="K108" s="8"/>
    </row>
    <row r="109" spans="1:11" ht="12.75" customHeight="1" x14ac:dyDescent="0.2">
      <c r="A109" s="8"/>
      <c r="B109" s="8"/>
      <c r="D109" s="3"/>
      <c r="E109" s="8"/>
      <c r="F109" s="8"/>
      <c r="G109" s="8"/>
      <c r="H109" s="8"/>
      <c r="I109" s="8"/>
      <c r="J109" s="24"/>
      <c r="K109" s="8"/>
    </row>
    <row r="110" spans="1:11" ht="12.75" customHeight="1" x14ac:dyDescent="0.2">
      <c r="A110" s="8"/>
      <c r="B110" s="8"/>
      <c r="D110" s="3"/>
      <c r="E110" s="85" t="s">
        <v>161</v>
      </c>
      <c r="F110" s="8"/>
      <c r="G110" s="8"/>
      <c r="H110" s="8"/>
      <c r="I110" s="8"/>
      <c r="J110" s="24"/>
      <c r="K110" s="8"/>
    </row>
    <row r="111" spans="1:11" ht="12.75" customHeight="1" x14ac:dyDescent="0.3">
      <c r="A111" s="8"/>
      <c r="B111" s="8"/>
      <c r="D111" s="3" t="s">
        <v>162</v>
      </c>
      <c r="E111" s="32" t="s">
        <v>141</v>
      </c>
      <c r="F111" s="31">
        <f>'EC7 (DA1-2)'!F53</f>
        <v>0.80660544464907591</v>
      </c>
      <c r="G111" s="8"/>
      <c r="H111" s="8"/>
      <c r="I111" s="8"/>
      <c r="J111" s="24"/>
      <c r="K111" s="8"/>
    </row>
    <row r="112" spans="1:11" ht="12.75" customHeight="1" x14ac:dyDescent="0.3">
      <c r="A112" s="8"/>
      <c r="B112" s="8"/>
      <c r="D112" s="88" t="s">
        <v>163</v>
      </c>
      <c r="E112" s="32" t="s">
        <v>142</v>
      </c>
      <c r="F112" s="87">
        <f>'EC7 (DA1-2)'!F54</f>
        <v>1.2397635134177192</v>
      </c>
      <c r="G112" s="8"/>
      <c r="H112" s="8"/>
      <c r="I112" s="8"/>
      <c r="J112" s="24"/>
      <c r="K112" s="8"/>
    </row>
    <row r="113" spans="1:11" ht="12.75" customHeight="1" x14ac:dyDescent="0.2">
      <c r="A113" s="8"/>
      <c r="B113" s="8"/>
      <c r="D113" s="3"/>
      <c r="E113" s="8" t="str">
        <f>'EC7 (DA1-2)'!D55</f>
        <v>Not Safe: The pile fails to resist the applied compression load for long term</v>
      </c>
      <c r="F113" s="31"/>
      <c r="G113" s="8"/>
      <c r="H113" s="8"/>
      <c r="I113" s="8"/>
      <c r="J113" s="24"/>
      <c r="K113" s="8"/>
    </row>
    <row r="114" spans="1:11" ht="12.75" customHeight="1" x14ac:dyDescent="0.3">
      <c r="A114" s="8"/>
      <c r="B114" s="8"/>
      <c r="D114" s="3" t="s">
        <v>145</v>
      </c>
      <c r="E114" s="32" t="s">
        <v>143</v>
      </c>
      <c r="F114" s="31">
        <f>'EC7 (DA1-2)'!F57</f>
        <v>0.95866263587249045</v>
      </c>
      <c r="G114" s="8"/>
      <c r="H114" s="8"/>
      <c r="I114" s="8"/>
      <c r="J114" s="24"/>
      <c r="K114" s="8"/>
    </row>
    <row r="115" spans="1:11" ht="12.75" customHeight="1" x14ac:dyDescent="0.3">
      <c r="A115" s="8"/>
      <c r="B115" s="8"/>
      <c r="D115" s="3" t="s">
        <v>146</v>
      </c>
      <c r="E115" s="32" t="s">
        <v>144</v>
      </c>
      <c r="F115" s="87">
        <f>'EC7 (DA1-2)'!F58</f>
        <v>1.0431198239930233</v>
      </c>
      <c r="G115" s="8"/>
      <c r="H115" s="8"/>
      <c r="I115" s="8"/>
      <c r="J115" s="24"/>
      <c r="K115" s="8"/>
    </row>
    <row r="116" spans="1:11" ht="12.75" customHeight="1" x14ac:dyDescent="0.2">
      <c r="A116" s="8"/>
      <c r="B116" s="8"/>
      <c r="D116" s="3"/>
      <c r="E116" s="8" t="str">
        <f>'EC7 (DA1-2)'!D59</f>
        <v>Not Safe: The pile fails to resist the applied uplift load for long term</v>
      </c>
      <c r="F116" s="8"/>
      <c r="G116" s="8"/>
      <c r="H116" s="8"/>
      <c r="I116" s="8"/>
      <c r="J116" s="24"/>
      <c r="K116" s="8"/>
    </row>
    <row r="117" spans="1:11" ht="12.75" customHeight="1" x14ac:dyDescent="0.2"/>
    <row r="118" spans="1:11" ht="12.75" customHeight="1" x14ac:dyDescent="0.2"/>
    <row r="119" spans="1:11" ht="12.75" customHeight="1" x14ac:dyDescent="0.2"/>
    <row r="120" spans="1:11" ht="12.75" customHeight="1" x14ac:dyDescent="0.2"/>
    <row r="121" spans="1:11" ht="12.75" customHeight="1" x14ac:dyDescent="0.2"/>
    <row r="122" spans="1:11" ht="12.75" customHeight="1" x14ac:dyDescent="0.2"/>
    <row r="123" spans="1:11" ht="12.75" customHeight="1" x14ac:dyDescent="0.2"/>
    <row r="124" spans="1:11" ht="12.75" customHeight="1" x14ac:dyDescent="0.2"/>
    <row r="125" spans="1:11" ht="12.75" customHeight="1" x14ac:dyDescent="0.2"/>
    <row r="126" spans="1:11" ht="12.75" customHeight="1" x14ac:dyDescent="0.2"/>
    <row r="127" spans="1:11" ht="12.75" customHeight="1" x14ac:dyDescent="0.2"/>
    <row r="128" spans="1:11"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sheetData>
  <mergeCells count="19">
    <mergeCell ref="D37:D38"/>
    <mergeCell ref="H37:H38"/>
    <mergeCell ref="G37:G38"/>
    <mergeCell ref="C37:C38"/>
    <mergeCell ref="B10:J15"/>
    <mergeCell ref="Y4:Z4"/>
    <mergeCell ref="V3:Z3"/>
    <mergeCell ref="B7:J7"/>
    <mergeCell ref="A1:C3"/>
    <mergeCell ref="D1:I1"/>
    <mergeCell ref="J1:K1"/>
    <mergeCell ref="D3:I3"/>
    <mergeCell ref="J3:K3"/>
    <mergeCell ref="A4:C6"/>
    <mergeCell ref="D5:E5"/>
    <mergeCell ref="F5:G5"/>
    <mergeCell ref="I5:J5"/>
    <mergeCell ref="W4:X4"/>
    <mergeCell ref="I37:I38"/>
  </mergeCells>
  <phoneticPr fontId="3" type="noConversion"/>
  <conditionalFormatting sqref="E68:E69 E72">
    <cfRule type="containsText" dxfId="17" priority="12" operator="containsText" text="Not Safe:">
      <formula>NOT(ISERROR(SEARCH("Not Safe:",E68)))</formula>
    </cfRule>
  </conditionalFormatting>
  <conditionalFormatting sqref="E75">
    <cfRule type="containsText" dxfId="16" priority="10" operator="containsText" text="Not Safe:">
      <formula>NOT(ISERROR(SEARCH("Not Safe:",E75)))</formula>
    </cfRule>
  </conditionalFormatting>
  <conditionalFormatting sqref="E80:E81">
    <cfRule type="containsText" dxfId="15" priority="9" operator="containsText" text="Not Safe:">
      <formula>NOT(ISERROR(SEARCH("Not Safe:",E80)))</formula>
    </cfRule>
  </conditionalFormatting>
  <conditionalFormatting sqref="E84">
    <cfRule type="containsText" dxfId="14" priority="7" operator="containsText" text="Not Safe:">
      <formula>NOT(ISERROR(SEARCH("Not Safe:",E84)))</formula>
    </cfRule>
  </conditionalFormatting>
  <conditionalFormatting sqref="E87">
    <cfRule type="containsText" dxfId="13" priority="6" operator="containsText" text="Not Safe:">
      <formula>NOT(ISERROR(SEARCH("Not Safe:",E87)))</formula>
    </cfRule>
  </conditionalFormatting>
  <conditionalFormatting sqref="E97:E98 E101">
    <cfRule type="containsText" dxfId="12" priority="5" operator="containsText" text="Not Safe:">
      <formula>NOT(ISERROR(SEARCH("Not Safe:",E97)))</formula>
    </cfRule>
  </conditionalFormatting>
  <conditionalFormatting sqref="E104">
    <cfRule type="containsText" dxfId="11" priority="4" operator="containsText" text="Not Safe:">
      <formula>NOT(ISERROR(SEARCH("Not Safe:",E104)))</formula>
    </cfRule>
  </conditionalFormatting>
  <conditionalFormatting sqref="E109:E110">
    <cfRule type="containsText" dxfId="10" priority="3" operator="containsText" text="Not Safe:">
      <formula>NOT(ISERROR(SEARCH("Not Safe:",E109)))</formula>
    </cfRule>
  </conditionalFormatting>
  <conditionalFormatting sqref="E113">
    <cfRule type="containsText" dxfId="9" priority="2" operator="containsText" text="Not Safe:">
      <formula>NOT(ISERROR(SEARCH("Not Safe:",E113)))</formula>
    </cfRule>
  </conditionalFormatting>
  <conditionalFormatting sqref="E116">
    <cfRule type="containsText" dxfId="8" priority="1" operator="containsText" text="Not Safe:">
      <formula>NOT(ISERROR(SEARCH("Not Safe:",E116)))</formula>
    </cfRule>
  </conditionalFormatting>
  <dataValidations count="1">
    <dataValidation type="list" allowBlank="1" showInputMessage="1" showErrorMessage="1" sqref="F27" xr:uid="{E1FD852D-22F4-4800-8D10-047420CA78C7}">
      <formula1>"Yes,No"</formula1>
    </dataValidation>
  </dataValidations>
  <pageMargins left="0.35" right="0.25" top="0.75" bottom="0.75" header="0.3" footer="0.3"/>
  <pageSetup paperSize="9" orientation="portrait" horizontalDpi="300" verticalDpi="300" r:id="rId1"/>
  <headerFooter>
    <oddFooter>&amp;L&amp;"Arial,Italic"Disclaimer. This tool follows EC7 conventions. Results are for preliminary use only and must be checked and approved by a suitably qualified engineer before reliance. PHICON accepts no liability without formal verification/approval.</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12A6E-D4A4-4896-B047-242754549194}">
  <dimension ref="A1:AH122"/>
  <sheetViews>
    <sheetView zoomScale="130" zoomScaleNormal="130" zoomScaleSheetLayoutView="100" workbookViewId="0">
      <selection activeCell="M61" sqref="M61"/>
    </sheetView>
  </sheetViews>
  <sheetFormatPr defaultColWidth="8.85546875" defaultRowHeight="12.75" x14ac:dyDescent="0.2"/>
  <cols>
    <col min="1" max="12" width="9" style="8" customWidth="1"/>
    <col min="13" max="15" width="10.7109375" style="8" customWidth="1"/>
    <col min="16" max="20" width="9" style="8" customWidth="1"/>
    <col min="21" max="21" width="11.7109375" style="8" customWidth="1"/>
    <col min="22" max="24" width="9" style="8" customWidth="1"/>
    <col min="25" max="25" width="9" style="64" customWidth="1"/>
    <col min="26" max="26" width="11.7109375" style="8" customWidth="1"/>
    <col min="27" max="27" width="9" style="8" customWidth="1"/>
    <col min="28" max="28" width="11.7109375" style="8" customWidth="1"/>
    <col min="29" max="32" width="9" style="8" customWidth="1"/>
    <col min="33" max="33" width="11.7109375" style="8" customWidth="1"/>
    <col min="34" max="34" width="9" style="8" customWidth="1"/>
    <col min="35" max="62" width="8.7109375" style="8" customWidth="1"/>
    <col min="63" max="16384" width="8.85546875" style="8"/>
  </cols>
  <sheetData>
    <row r="1" spans="1:25" ht="15" customHeight="1" x14ac:dyDescent="0.2">
      <c r="A1" s="116"/>
      <c r="B1" s="116"/>
      <c r="C1" s="95"/>
      <c r="D1" s="103" t="s">
        <v>2</v>
      </c>
      <c r="E1" s="104"/>
      <c r="F1" s="104"/>
      <c r="G1" s="104"/>
      <c r="H1" s="104"/>
      <c r="I1" s="105"/>
      <c r="J1" s="103" t="s">
        <v>3</v>
      </c>
      <c r="K1" s="105"/>
      <c r="L1" s="78"/>
      <c r="M1" s="78"/>
      <c r="N1" s="78"/>
      <c r="O1" s="78"/>
      <c r="P1" s="78"/>
      <c r="S1" s="79"/>
      <c r="T1" s="78"/>
      <c r="Y1" s="66"/>
    </row>
    <row r="2" spans="1:25" ht="15" customHeight="1" x14ac:dyDescent="0.2">
      <c r="A2" s="116"/>
      <c r="B2" s="116"/>
      <c r="C2" s="95"/>
      <c r="D2" s="15" t="str">
        <f>'Data input'!$D$2</f>
        <v>Example Project</v>
      </c>
      <c r="E2" s="16"/>
      <c r="F2" s="16"/>
      <c r="G2" s="16"/>
      <c r="H2" s="16"/>
      <c r="I2" s="17"/>
      <c r="J2" s="15" t="str">
        <f>'Data input'!$J$2</f>
        <v>Eample Job No.</v>
      </c>
      <c r="K2" s="17"/>
      <c r="L2" s="43"/>
      <c r="M2" s="43"/>
      <c r="N2" s="43"/>
      <c r="O2" s="43"/>
      <c r="P2" s="43"/>
      <c r="S2" s="79"/>
      <c r="T2" s="43"/>
    </row>
    <row r="3" spans="1:25" ht="15" customHeight="1" x14ac:dyDescent="0.2">
      <c r="A3" s="116"/>
      <c r="B3" s="116"/>
      <c r="C3" s="95"/>
      <c r="D3" s="103" t="s">
        <v>6</v>
      </c>
      <c r="E3" s="104"/>
      <c r="F3" s="104"/>
      <c r="G3" s="104"/>
      <c r="H3" s="104"/>
      <c r="I3" s="105"/>
      <c r="J3" s="106" t="s">
        <v>7</v>
      </c>
      <c r="K3" s="107"/>
      <c r="L3" s="78"/>
      <c r="M3" s="78"/>
      <c r="N3" s="80"/>
      <c r="O3" s="80"/>
      <c r="P3" s="80"/>
      <c r="T3" s="80"/>
    </row>
    <row r="4" spans="1:25" ht="15" customHeight="1" x14ac:dyDescent="0.2">
      <c r="A4" s="113" t="s">
        <v>8</v>
      </c>
      <c r="B4" s="114"/>
      <c r="C4" s="115"/>
      <c r="D4" s="15" t="str">
        <f>'Data input'!$D$4</f>
        <v>Example Structure</v>
      </c>
      <c r="E4" s="16"/>
      <c r="F4" s="16"/>
      <c r="G4" s="16"/>
      <c r="H4" s="16"/>
      <c r="I4" s="17"/>
      <c r="J4" s="15"/>
      <c r="K4" s="17"/>
      <c r="L4" s="43"/>
      <c r="M4" s="43"/>
      <c r="N4" s="43"/>
      <c r="O4" s="43"/>
      <c r="P4" s="43"/>
      <c r="T4" s="43"/>
    </row>
    <row r="5" spans="1:25" ht="15" customHeight="1" x14ac:dyDescent="0.2">
      <c r="A5" s="114"/>
      <c r="B5" s="114"/>
      <c r="C5" s="115"/>
      <c r="D5" s="103" t="s">
        <v>10</v>
      </c>
      <c r="E5" s="105"/>
      <c r="F5" s="103" t="s">
        <v>11</v>
      </c>
      <c r="G5" s="105"/>
      <c r="H5" s="1" t="s">
        <v>12</v>
      </c>
      <c r="I5" s="106" t="s">
        <v>13</v>
      </c>
      <c r="J5" s="107"/>
      <c r="K5" s="2" t="s">
        <v>12</v>
      </c>
      <c r="L5" s="80"/>
      <c r="M5" s="80"/>
      <c r="N5" s="80"/>
      <c r="O5" s="44"/>
      <c r="P5" s="45"/>
      <c r="T5" s="44"/>
    </row>
    <row r="6" spans="1:25" ht="15" customHeight="1" x14ac:dyDescent="0.2">
      <c r="A6" s="114"/>
      <c r="B6" s="114"/>
      <c r="C6" s="115"/>
      <c r="D6" s="18" t="str">
        <f>'Data input'!$D$6</f>
        <v>Example Client</v>
      </c>
      <c r="E6" s="17"/>
      <c r="F6" s="18" t="str">
        <f>'Data input'!$F$6</f>
        <v>Example Engineer</v>
      </c>
      <c r="G6" s="17"/>
      <c r="H6" s="19">
        <f ca="1">TODAY()</f>
        <v>45988</v>
      </c>
      <c r="I6" s="18" t="str">
        <f>'Data input'!$I$6</f>
        <v>Example Checker</v>
      </c>
      <c r="J6" s="17"/>
      <c r="K6" s="19">
        <f ca="1">TODAY()</f>
        <v>45988</v>
      </c>
      <c r="L6" s="46"/>
      <c r="M6" s="81"/>
      <c r="N6" s="43"/>
      <c r="O6" s="43"/>
      <c r="P6" s="46"/>
      <c r="T6" s="43"/>
    </row>
    <row r="7" spans="1:25" ht="12.75" customHeight="1" x14ac:dyDescent="0.2">
      <c r="A7" s="20" t="s">
        <v>17</v>
      </c>
      <c r="B7" s="99" t="s">
        <v>18</v>
      </c>
      <c r="C7" s="99"/>
      <c r="D7" s="100"/>
      <c r="E7" s="100"/>
      <c r="F7" s="100"/>
      <c r="G7" s="100"/>
      <c r="H7" s="100"/>
      <c r="I7" s="100"/>
      <c r="J7" s="100"/>
      <c r="K7" s="21" t="s">
        <v>19</v>
      </c>
      <c r="L7" s="43"/>
      <c r="M7" s="43"/>
      <c r="N7" s="43"/>
      <c r="O7" s="47"/>
      <c r="P7" s="47"/>
      <c r="T7" s="47"/>
    </row>
    <row r="8" spans="1:25" ht="12.6" customHeight="1" x14ac:dyDescent="0.2">
      <c r="E8" s="82" t="s">
        <v>149</v>
      </c>
      <c r="G8" s="38"/>
      <c r="H8" s="38"/>
      <c r="T8" s="6"/>
      <c r="U8" s="6"/>
      <c r="V8" s="6"/>
      <c r="W8" s="6"/>
      <c r="X8" s="64"/>
      <c r="Y8" s="8"/>
    </row>
    <row r="9" spans="1:25" ht="12.6" customHeight="1" x14ac:dyDescent="0.2">
      <c r="G9" s="38"/>
      <c r="H9" s="38"/>
      <c r="T9" s="6"/>
      <c r="U9" s="6"/>
      <c r="V9" s="6"/>
      <c r="W9" s="6"/>
      <c r="X9" s="64"/>
      <c r="Y9" s="8"/>
    </row>
    <row r="10" spans="1:25" ht="12.6" customHeight="1" x14ac:dyDescent="0.2">
      <c r="A10" s="7" t="s">
        <v>26</v>
      </c>
      <c r="G10" s="38"/>
      <c r="H10" s="38"/>
      <c r="T10" s="6"/>
      <c r="U10" s="6"/>
      <c r="V10" s="6"/>
      <c r="W10" s="6"/>
      <c r="X10" s="64"/>
      <c r="Y10" s="8"/>
    </row>
    <row r="11" spans="1:25" ht="12.6" customHeight="1" x14ac:dyDescent="0.2">
      <c r="A11" s="7" t="s">
        <v>27</v>
      </c>
      <c r="T11" s="6"/>
      <c r="U11" s="6"/>
      <c r="V11" s="6"/>
      <c r="W11" s="6"/>
      <c r="X11" s="64"/>
      <c r="Y11" s="8"/>
    </row>
    <row r="12" spans="1:25" ht="12.6" customHeight="1" x14ac:dyDescent="0.2">
      <c r="A12" s="7"/>
      <c r="T12" s="6"/>
      <c r="U12" s="6"/>
      <c r="V12" s="6"/>
      <c r="W12" s="6"/>
      <c r="X12" s="64"/>
      <c r="Y12" s="8"/>
    </row>
    <row r="13" spans="1:25" ht="12.6" customHeight="1" x14ac:dyDescent="0.2">
      <c r="A13" s="7"/>
      <c r="B13" s="9" t="s">
        <v>20</v>
      </c>
      <c r="T13" s="6"/>
      <c r="U13" s="6"/>
      <c r="V13" s="6"/>
      <c r="W13" s="6"/>
      <c r="X13" s="64"/>
      <c r="Y13" s="8"/>
    </row>
    <row r="14" spans="1:25" ht="12.6" customHeight="1" x14ac:dyDescent="0.2">
      <c r="A14" s="7"/>
      <c r="B14" s="29"/>
      <c r="C14" s="70" t="s">
        <v>40</v>
      </c>
      <c r="D14" s="39"/>
      <c r="T14" s="6"/>
      <c r="U14" s="6"/>
      <c r="V14" s="6"/>
      <c r="W14" s="6"/>
      <c r="X14" s="64"/>
      <c r="Y14" s="8"/>
    </row>
    <row r="15" spans="1:25" ht="12.6" customHeight="1" x14ac:dyDescent="0.2">
      <c r="A15" s="7"/>
      <c r="B15" s="12"/>
      <c r="D15" s="13" t="s">
        <v>21</v>
      </c>
      <c r="E15" s="33" t="s">
        <v>22</v>
      </c>
      <c r="F15" s="30">
        <v>1.35</v>
      </c>
      <c r="H15"/>
      <c r="T15" s="6"/>
      <c r="U15" s="6"/>
      <c r="V15" s="6"/>
      <c r="W15" s="6"/>
      <c r="X15" s="64"/>
      <c r="Y15" s="8"/>
    </row>
    <row r="16" spans="1:25" ht="12.6" customHeight="1" x14ac:dyDescent="0.2">
      <c r="A16" s="7"/>
      <c r="B16" s="12"/>
      <c r="D16" s="13" t="s">
        <v>23</v>
      </c>
      <c r="E16" s="13" t="s">
        <v>24</v>
      </c>
      <c r="F16" s="30">
        <v>1.5</v>
      </c>
      <c r="H16"/>
      <c r="T16" s="6"/>
      <c r="U16" s="6"/>
      <c r="V16" s="6"/>
      <c r="W16" s="6"/>
      <c r="X16" s="64"/>
      <c r="Y16" s="8"/>
    </row>
    <row r="17" spans="1:25" ht="12.6" customHeight="1" x14ac:dyDescent="0.2">
      <c r="A17" s="7"/>
      <c r="B17" s="12"/>
      <c r="C17" s="13"/>
      <c r="D17" s="13"/>
      <c r="E17" s="13"/>
      <c r="F17" s="13"/>
      <c r="G17"/>
      <c r="H17"/>
      <c r="T17" s="6"/>
      <c r="U17" s="6"/>
      <c r="V17" s="6"/>
      <c r="W17" s="6"/>
      <c r="X17" s="64"/>
      <c r="Y17" s="8"/>
    </row>
    <row r="18" spans="1:25" ht="12.6" customHeight="1" x14ac:dyDescent="0.2">
      <c r="A18" s="7"/>
      <c r="B18" s="12"/>
      <c r="C18" s="70" t="s">
        <v>102</v>
      </c>
      <c r="D18" s="13"/>
      <c r="E18" s="13"/>
      <c r="F18" s="13"/>
      <c r="G18"/>
      <c r="H18"/>
      <c r="T18" s="6"/>
      <c r="U18" s="6"/>
      <c r="V18" s="6"/>
      <c r="W18" s="6"/>
      <c r="X18" s="64"/>
      <c r="Y18" s="8"/>
    </row>
    <row r="19" spans="1:25" ht="12.6" customHeight="1" x14ac:dyDescent="0.25">
      <c r="A19" s="7"/>
      <c r="B19" s="12"/>
      <c r="C19" s="13"/>
      <c r="D19" s="68" t="s">
        <v>96</v>
      </c>
      <c r="E19" s="68" t="s">
        <v>97</v>
      </c>
      <c r="F19" s="69">
        <v>1</v>
      </c>
      <c r="G19"/>
      <c r="H19"/>
      <c r="T19" s="6"/>
      <c r="U19" s="6"/>
      <c r="V19" s="6"/>
      <c r="W19" s="6"/>
      <c r="X19" s="64"/>
      <c r="Y19" s="8"/>
    </row>
    <row r="20" spans="1:25" ht="12.6" customHeight="1" x14ac:dyDescent="0.25">
      <c r="A20" s="7"/>
      <c r="B20" s="12"/>
      <c r="C20" s="13"/>
      <c r="D20" s="68" t="s">
        <v>98</v>
      </c>
      <c r="E20" s="68" t="s">
        <v>99</v>
      </c>
      <c r="F20" s="69">
        <v>1</v>
      </c>
      <c r="G20"/>
      <c r="H20"/>
      <c r="T20" s="6"/>
      <c r="U20" s="6"/>
      <c r="V20" s="6"/>
      <c r="W20" s="6"/>
      <c r="X20" s="64"/>
      <c r="Y20" s="8"/>
    </row>
    <row r="21" spans="1:25" ht="12.6" customHeight="1" x14ac:dyDescent="0.25">
      <c r="A21" s="7"/>
      <c r="B21" s="12"/>
      <c r="C21" s="13"/>
      <c r="D21" s="32" t="s">
        <v>125</v>
      </c>
      <c r="E21" s="75" t="s">
        <v>124</v>
      </c>
      <c r="F21" s="69">
        <v>1</v>
      </c>
      <c r="G21"/>
      <c r="H21"/>
      <c r="T21" s="6"/>
      <c r="U21" s="6"/>
      <c r="V21" s="6"/>
      <c r="W21" s="6"/>
      <c r="X21" s="64"/>
      <c r="Y21" s="8"/>
    </row>
    <row r="22" spans="1:25" ht="12.6" customHeight="1" x14ac:dyDescent="0.25">
      <c r="A22" s="7"/>
      <c r="B22" s="12"/>
      <c r="C22" s="13"/>
      <c r="D22" s="68" t="s">
        <v>100</v>
      </c>
      <c r="E22" s="68" t="s">
        <v>101</v>
      </c>
      <c r="F22" s="69">
        <v>1</v>
      </c>
      <c r="G22"/>
      <c r="H22"/>
      <c r="T22" s="6"/>
      <c r="U22" s="6"/>
      <c r="V22" s="6"/>
      <c r="W22" s="6"/>
      <c r="X22" s="64"/>
      <c r="Y22" s="8"/>
    </row>
    <row r="23" spans="1:25" ht="12.6" customHeight="1" x14ac:dyDescent="0.2">
      <c r="A23" s="7"/>
      <c r="B23" s="12"/>
      <c r="C23" s="13"/>
      <c r="D23" s="13"/>
      <c r="E23" s="13"/>
      <c r="F23" s="13"/>
      <c r="G23"/>
      <c r="H23"/>
      <c r="T23" s="6"/>
      <c r="U23" s="6"/>
      <c r="V23" s="6"/>
      <c r="W23" s="6"/>
      <c r="X23" s="64"/>
      <c r="Y23" s="8"/>
    </row>
    <row r="24" spans="1:25" ht="12.6" customHeight="1" x14ac:dyDescent="0.2">
      <c r="A24" s="7"/>
      <c r="B24" s="29"/>
      <c r="C24" s="70" t="s">
        <v>39</v>
      </c>
      <c r="D24" s="39"/>
      <c r="T24" s="6"/>
      <c r="U24" s="6"/>
      <c r="V24" s="6"/>
      <c r="W24" s="6"/>
      <c r="X24" s="64"/>
      <c r="Y24" s="8"/>
    </row>
    <row r="25" spans="1:25" ht="12.6" customHeight="1" x14ac:dyDescent="0.2">
      <c r="A25" s="7"/>
      <c r="B25" s="29"/>
      <c r="D25" s="3" t="s">
        <v>41</v>
      </c>
      <c r="E25" s="3" t="s">
        <v>126</v>
      </c>
      <c r="F25" s="76">
        <v>1.25</v>
      </c>
      <c r="H25" s="55"/>
      <c r="T25" s="6"/>
      <c r="U25" s="6"/>
      <c r="V25" s="6"/>
      <c r="W25" s="6"/>
      <c r="X25" s="64"/>
      <c r="Y25" s="8"/>
    </row>
    <row r="26" spans="1:25" ht="12.6" customHeight="1" x14ac:dyDescent="0.2">
      <c r="A26" s="7"/>
      <c r="B26" s="29"/>
      <c r="D26" s="3" t="s">
        <v>128</v>
      </c>
      <c r="E26" s="3" t="s">
        <v>127</v>
      </c>
      <c r="F26" s="76">
        <v>1</v>
      </c>
      <c r="H26" s="55"/>
      <c r="T26" s="6"/>
      <c r="U26" s="6"/>
      <c r="V26" s="6"/>
      <c r="W26" s="6"/>
      <c r="X26" s="64"/>
      <c r="Y26" s="8"/>
    </row>
    <row r="27" spans="1:25" ht="12.6" customHeight="1" x14ac:dyDescent="0.2">
      <c r="A27" s="7"/>
      <c r="B27" s="29"/>
      <c r="D27" s="3" t="s">
        <v>92</v>
      </c>
      <c r="E27" s="3" t="s">
        <v>94</v>
      </c>
      <c r="F27" s="76">
        <v>1.1499999999999999</v>
      </c>
      <c r="H27" s="55"/>
      <c r="T27" s="6"/>
      <c r="U27" s="6"/>
      <c r="V27" s="6"/>
      <c r="W27" s="6"/>
      <c r="X27" s="64"/>
      <c r="Y27" s="8"/>
    </row>
    <row r="28" spans="1:25" ht="12.6" customHeight="1" x14ac:dyDescent="0.2">
      <c r="A28" s="7"/>
      <c r="B28" s="29"/>
      <c r="C28" s="3"/>
      <c r="D28" s="3" t="s">
        <v>91</v>
      </c>
      <c r="E28" s="3" t="s">
        <v>93</v>
      </c>
      <c r="F28" s="76">
        <v>1.25</v>
      </c>
      <c r="H28" s="55"/>
      <c r="T28" s="6"/>
      <c r="U28" s="6"/>
      <c r="V28" s="6"/>
      <c r="W28" s="6"/>
      <c r="X28" s="64"/>
      <c r="Y28" s="8"/>
    </row>
    <row r="29" spans="1:25" ht="12.6" customHeight="1" x14ac:dyDescent="0.2">
      <c r="C29" s="3"/>
      <c r="X29" s="64"/>
      <c r="Y29" s="8"/>
    </row>
    <row r="30" spans="1:25" ht="12.6" customHeight="1" x14ac:dyDescent="0.2">
      <c r="B30" s="9" t="s">
        <v>134</v>
      </c>
      <c r="C30" s="3"/>
      <c r="X30" s="64"/>
      <c r="Y30" s="8"/>
    </row>
    <row r="31" spans="1:25" ht="12.6" customHeight="1" x14ac:dyDescent="0.2">
      <c r="D31" s="3" t="s">
        <v>138</v>
      </c>
      <c r="E31" s="3" t="s">
        <v>164</v>
      </c>
      <c r="F31" s="8">
        <f>Vp*gammaG+Vv*gammaQ</f>
        <v>4200</v>
      </c>
      <c r="G31" s="8" t="s">
        <v>25</v>
      </c>
      <c r="X31" s="64"/>
      <c r="Y31" s="8"/>
    </row>
    <row r="32" spans="1:25" ht="12.6" customHeight="1" x14ac:dyDescent="0.2">
      <c r="C32" s="3"/>
      <c r="D32" s="3" t="s">
        <v>139</v>
      </c>
      <c r="E32" s="3" t="s">
        <v>140</v>
      </c>
      <c r="F32" s="8">
        <f>Fup*gammaQ</f>
        <v>1500</v>
      </c>
      <c r="G32" s="8" t="s">
        <v>25</v>
      </c>
      <c r="X32" s="64"/>
      <c r="Y32" s="8"/>
    </row>
    <row r="33" spans="2:25" ht="12.6" customHeight="1" x14ac:dyDescent="0.2">
      <c r="C33" s="3"/>
      <c r="X33" s="64"/>
      <c r="Y33" s="8"/>
    </row>
    <row r="34" spans="2:25" ht="12.6" customHeight="1" x14ac:dyDescent="0.2">
      <c r="C34" s="3"/>
      <c r="X34" s="64"/>
      <c r="Y34" s="8"/>
    </row>
    <row r="35" spans="2:25" ht="12.6" customHeight="1" x14ac:dyDescent="0.2">
      <c r="B35" s="9" t="s">
        <v>135</v>
      </c>
      <c r="C35" s="39"/>
      <c r="D35" s="39"/>
      <c r="X35" s="64"/>
      <c r="Y35" s="8"/>
    </row>
    <row r="36" spans="2:25" ht="12.6" customHeight="1" x14ac:dyDescent="0.2">
      <c r="C36" s="3"/>
      <c r="D36" s="3"/>
      <c r="E36" s="3" t="s">
        <v>95</v>
      </c>
      <c r="F36" s="55">
        <f>L</f>
        <v>30</v>
      </c>
      <c r="G36" s="55" t="s">
        <v>0</v>
      </c>
      <c r="X36" s="66"/>
      <c r="Y36" s="8"/>
    </row>
    <row r="37" spans="2:25" ht="12.6" customHeight="1" x14ac:dyDescent="0.2">
      <c r="C37" s="3"/>
      <c r="D37" s="3"/>
      <c r="E37" s="3" t="s">
        <v>73</v>
      </c>
      <c r="F37" s="55">
        <f>PL</f>
        <v>-20</v>
      </c>
      <c r="G37" s="55" t="s">
        <v>53</v>
      </c>
      <c r="X37" s="66"/>
      <c r="Y37" s="8"/>
    </row>
    <row r="38" spans="2:25" ht="12.6" customHeight="1" x14ac:dyDescent="0.2">
      <c r="C38" s="3"/>
      <c r="D38" s="3"/>
      <c r="E38" s="3"/>
      <c r="F38" s="55"/>
      <c r="G38" s="55"/>
      <c r="X38" s="66"/>
      <c r="Y38" s="8"/>
    </row>
    <row r="39" spans="2:25" ht="12.6" customHeight="1" x14ac:dyDescent="0.2">
      <c r="C39" s="70" t="s">
        <v>132</v>
      </c>
      <c r="D39" s="3"/>
      <c r="E39" s="3"/>
      <c r="F39" s="55"/>
      <c r="G39" s="55"/>
      <c r="X39" s="66"/>
      <c r="Y39" s="8"/>
    </row>
    <row r="40" spans="2:25" ht="12.6" customHeight="1" x14ac:dyDescent="0.2">
      <c r="D40" s="3" t="s">
        <v>92</v>
      </c>
      <c r="E40" s="33" t="s">
        <v>129</v>
      </c>
      <c r="F40" s="55">
        <f>MIN(_xlfn.XLOOKUP($F$37,B:B,Z:Z,"Error",1)/gammat,(_xlfn.XLOOKUP($F$37,B:B,Y:Y,"Error",1)/gammab)+(_xlfn.XLOOKUP($F$37,B:B,X:X,"Error",1)/gammas))</f>
        <v>4067.46966874797</v>
      </c>
      <c r="G40" s="8" t="s">
        <v>25</v>
      </c>
      <c r="X40" s="64"/>
      <c r="Y40" s="8"/>
    </row>
    <row r="41" spans="2:25" ht="12.6" customHeight="1" x14ac:dyDescent="0.2">
      <c r="D41" s="3" t="s">
        <v>131</v>
      </c>
      <c r="E41" s="33" t="s">
        <v>130</v>
      </c>
      <c r="F41" s="55">
        <f>_xlfn.XLOOKUP($F$37,B:B,AA:AA,"Error",1)/gammast</f>
        <v>1018.2845010410085</v>
      </c>
      <c r="G41" s="8" t="s">
        <v>25</v>
      </c>
      <c r="X41" s="64"/>
      <c r="Y41" s="8"/>
    </row>
    <row r="42" spans="2:25" ht="12.6" customHeight="1" x14ac:dyDescent="0.3">
      <c r="C42" s="3"/>
      <c r="D42" s="3" t="s">
        <v>162</v>
      </c>
      <c r="E42" s="32" t="s">
        <v>141</v>
      </c>
      <c r="F42" s="55">
        <f>F40/F31</f>
        <v>0.96844515922570718</v>
      </c>
      <c r="X42" s="64"/>
      <c r="Y42" s="8"/>
    </row>
    <row r="43" spans="2:25" ht="12.6" customHeight="1" x14ac:dyDescent="0.3">
      <c r="C43" s="3"/>
      <c r="D43" s="88" t="s">
        <v>165</v>
      </c>
      <c r="E43" s="32" t="s">
        <v>142</v>
      </c>
      <c r="F43" s="77">
        <f>F31/F40</f>
        <v>1.0325829918955056</v>
      </c>
      <c r="X43" s="64"/>
      <c r="Y43" s="8"/>
    </row>
    <row r="44" spans="2:25" ht="12.6" customHeight="1" x14ac:dyDescent="0.2">
      <c r="C44" s="3"/>
      <c r="D44" s="8" t="str">
        <f>IF(F42&gt;1,"Safe: The pile effectively resists the applied compression load for short term","Not Safe: The pile fails to resist the applied compression load for short term")</f>
        <v>Not Safe: The pile fails to resist the applied compression load for short term</v>
      </c>
      <c r="E44" s="32"/>
      <c r="F44" s="77"/>
      <c r="X44" s="64"/>
      <c r="Y44" s="8"/>
    </row>
    <row r="45" spans="2:25" ht="12.6" customHeight="1" x14ac:dyDescent="0.2">
      <c r="C45" s="3"/>
      <c r="D45" s="3"/>
      <c r="E45" s="32"/>
      <c r="F45" s="77"/>
      <c r="X45" s="64"/>
      <c r="Y45" s="8"/>
    </row>
    <row r="46" spans="2:25" ht="12.6" customHeight="1" x14ac:dyDescent="0.3">
      <c r="C46" s="3"/>
      <c r="D46" s="3" t="s">
        <v>145</v>
      </c>
      <c r="E46" s="32" t="s">
        <v>143</v>
      </c>
      <c r="F46" s="55">
        <f>F41/F32</f>
        <v>0.67885633402733903</v>
      </c>
      <c r="X46" s="64"/>
      <c r="Y46" s="8"/>
    </row>
    <row r="47" spans="2:25" ht="12.6" customHeight="1" x14ac:dyDescent="0.3">
      <c r="C47" s="3"/>
      <c r="D47" s="3" t="s">
        <v>146</v>
      </c>
      <c r="E47" s="32" t="s">
        <v>144</v>
      </c>
      <c r="F47" s="77">
        <f>F32/F41</f>
        <v>1.4730657281599848</v>
      </c>
      <c r="X47" s="64"/>
      <c r="Y47" s="8"/>
    </row>
    <row r="48" spans="2:25" ht="12.6" customHeight="1" x14ac:dyDescent="0.2">
      <c r="C48" s="3"/>
      <c r="D48" s="8" t="str">
        <f>IF(F46&gt;1,"Safe: The pile effectively resists the applied uplift load for short term","Not Safe: The pile fails to resist the applied uplift load for short term")</f>
        <v>Not Safe: The pile fails to resist the applied uplift load for short term</v>
      </c>
      <c r="E48" s="33"/>
      <c r="F48" s="55"/>
      <c r="X48" s="64"/>
      <c r="Y48" s="8"/>
    </row>
    <row r="49" spans="1:34" ht="12.6" customHeight="1" x14ac:dyDescent="0.2">
      <c r="C49" s="3"/>
      <c r="D49" s="3"/>
      <c r="E49" s="33"/>
      <c r="F49" s="55"/>
      <c r="X49" s="64"/>
      <c r="Y49" s="8"/>
    </row>
    <row r="50" spans="1:34" ht="12.6" customHeight="1" x14ac:dyDescent="0.2">
      <c r="C50" s="70" t="s">
        <v>133</v>
      </c>
      <c r="D50" s="3"/>
      <c r="E50" s="33"/>
      <c r="F50" s="55"/>
      <c r="X50" s="64"/>
      <c r="Y50" s="8"/>
    </row>
    <row r="51" spans="1:34" ht="12.6" customHeight="1" x14ac:dyDescent="0.2">
      <c r="C51" s="3"/>
      <c r="D51" s="3" t="s">
        <v>92</v>
      </c>
      <c r="E51" s="33" t="s">
        <v>129</v>
      </c>
      <c r="F51" s="55">
        <f>MIN(_xlfn.XLOOKUP($F$37,B:B,AG:AG,"Error",1)/gammat,(_xlfn.XLOOKUP($F$37,B:B,AF:AF,"Error",1)/gammab)+(_xlfn.XLOOKUP($F$37,B:B,AE:AE,"Error",1)/gammas))</f>
        <v>5211.9608879033285</v>
      </c>
      <c r="G51" s="8" t="s">
        <v>25</v>
      </c>
      <c r="X51" s="64"/>
      <c r="Y51" s="8"/>
    </row>
    <row r="52" spans="1:34" ht="12.6" customHeight="1" x14ac:dyDescent="0.2">
      <c r="C52" s="3"/>
      <c r="D52" s="3" t="s">
        <v>131</v>
      </c>
      <c r="E52" s="33" t="s">
        <v>130</v>
      </c>
      <c r="F52" s="55">
        <f>_xlfn.XLOOKUP($F$37,B:B,AH:AH,"Error",1)/gammast</f>
        <v>1723.7488885283717</v>
      </c>
      <c r="G52" s="8" t="s">
        <v>25</v>
      </c>
      <c r="X52" s="64"/>
      <c r="Y52" s="8"/>
    </row>
    <row r="53" spans="1:34" ht="12.6" customHeight="1" x14ac:dyDescent="0.3">
      <c r="C53" s="3"/>
      <c r="D53" s="3" t="s">
        <v>162</v>
      </c>
      <c r="E53" s="32" t="s">
        <v>141</v>
      </c>
      <c r="F53" s="55">
        <f>F51/F31</f>
        <v>1.2409430685484115</v>
      </c>
      <c r="X53" s="64"/>
      <c r="Y53" s="8"/>
    </row>
    <row r="54" spans="1:34" ht="12.6" customHeight="1" x14ac:dyDescent="0.3">
      <c r="C54" s="3"/>
      <c r="D54" s="88" t="s">
        <v>163</v>
      </c>
      <c r="E54" s="32" t="s">
        <v>142</v>
      </c>
      <c r="F54" s="77">
        <f>F31/F51</f>
        <v>0.80583874099054864</v>
      </c>
      <c r="X54" s="64"/>
      <c r="Y54" s="8"/>
    </row>
    <row r="55" spans="1:34" ht="12.6" customHeight="1" x14ac:dyDescent="0.2">
      <c r="C55" s="3"/>
      <c r="D55" s="8" t="str">
        <f>IF(F53&gt;1,"Safe: The pile effectively resists the applied compression load for short term","Not Safe: The pile fails to resist the applied compression load for short term")</f>
        <v>Safe: The pile effectively resists the applied compression load for short term</v>
      </c>
      <c r="E55" s="32"/>
      <c r="F55" s="77"/>
      <c r="X55" s="64"/>
      <c r="Y55" s="8"/>
    </row>
    <row r="56" spans="1:34" ht="12.6" customHeight="1" x14ac:dyDescent="0.2">
      <c r="C56" s="3"/>
      <c r="D56" s="3"/>
      <c r="E56" s="32"/>
      <c r="F56" s="77"/>
      <c r="X56" s="64"/>
      <c r="Y56" s="8"/>
    </row>
    <row r="57" spans="1:34" ht="12.6" customHeight="1" x14ac:dyDescent="0.3">
      <c r="D57" s="3" t="s">
        <v>145</v>
      </c>
      <c r="E57" s="32" t="s">
        <v>143</v>
      </c>
      <c r="F57" s="55">
        <f>F52/F32</f>
        <v>1.1491659256855811</v>
      </c>
      <c r="X57" s="64"/>
      <c r="Y57" s="8"/>
    </row>
    <row r="58" spans="1:34" ht="12.6" customHeight="1" x14ac:dyDescent="0.3">
      <c r="D58" s="3" t="s">
        <v>146</v>
      </c>
      <c r="E58" s="32" t="s">
        <v>144</v>
      </c>
      <c r="F58" s="77">
        <f>F32/F52</f>
        <v>0.87019635515507454</v>
      </c>
      <c r="X58" s="64"/>
      <c r="Y58" s="8"/>
    </row>
    <row r="59" spans="1:34" ht="12.6" customHeight="1" x14ac:dyDescent="0.2">
      <c r="D59" s="8" t="str">
        <f>IF(F57&gt;1,"Safe: The pile effectively resists the applied uplift load for short term","Not Safe: The pile fails to resist the applied uplift load for short term")</f>
        <v>Safe: The pile effectively resists the applied uplift load for short term</v>
      </c>
      <c r="X59" s="64"/>
      <c r="Y59" s="8"/>
    </row>
    <row r="60" spans="1:34" ht="12.6" customHeight="1" x14ac:dyDescent="0.2">
      <c r="X60" s="64"/>
      <c r="Y60" s="8"/>
    </row>
    <row r="61" spans="1:34" ht="12.95" customHeight="1" x14ac:dyDescent="0.2">
      <c r="B61" s="9" t="s">
        <v>150</v>
      </c>
      <c r="X61" s="64"/>
      <c r="Y61" s="8"/>
    </row>
    <row r="62" spans="1:34" ht="12.95" customHeight="1" x14ac:dyDescent="0.2">
      <c r="X62" s="64"/>
      <c r="Y62" s="8"/>
    </row>
    <row r="63" spans="1:34" ht="12.95" customHeight="1" x14ac:dyDescent="0.2">
      <c r="A63" s="111" t="s">
        <v>82</v>
      </c>
      <c r="B63" s="111"/>
      <c r="C63" s="111" t="s">
        <v>110</v>
      </c>
      <c r="D63" s="111" t="s">
        <v>71</v>
      </c>
      <c r="E63" s="111" t="s">
        <v>111</v>
      </c>
      <c r="F63" s="111" t="s">
        <v>112</v>
      </c>
      <c r="G63" s="111" t="s">
        <v>103</v>
      </c>
      <c r="H63" s="111"/>
      <c r="I63" s="111" t="s">
        <v>113</v>
      </c>
      <c r="J63" s="111"/>
      <c r="K63" s="111" t="s">
        <v>123</v>
      </c>
      <c r="L63" s="111"/>
      <c r="M63" s="111" t="s">
        <v>114</v>
      </c>
      <c r="N63" s="111" t="s">
        <v>104</v>
      </c>
      <c r="O63" s="111" t="s">
        <v>105</v>
      </c>
      <c r="P63" s="111" t="s">
        <v>77</v>
      </c>
      <c r="Q63" s="111"/>
      <c r="R63" s="111" t="s">
        <v>115</v>
      </c>
      <c r="S63" s="111" t="s">
        <v>79</v>
      </c>
      <c r="T63" s="111" t="s">
        <v>81</v>
      </c>
      <c r="U63" s="112" t="s">
        <v>88</v>
      </c>
      <c r="V63" s="112"/>
      <c r="W63" s="112"/>
      <c r="X63" s="112"/>
      <c r="Y63" s="112"/>
      <c r="Z63" s="112"/>
      <c r="AA63" s="112"/>
      <c r="AB63" s="111" t="s">
        <v>89</v>
      </c>
      <c r="AC63" s="111"/>
      <c r="AD63" s="111"/>
      <c r="AE63" s="111"/>
      <c r="AF63" s="111"/>
      <c r="AG63" s="111"/>
      <c r="AH63" s="111"/>
    </row>
    <row r="64" spans="1:34" ht="30" customHeight="1" x14ac:dyDescent="0.2">
      <c r="A64" s="111"/>
      <c r="B64" s="111"/>
      <c r="C64" s="111"/>
      <c r="D64" s="111"/>
      <c r="E64" s="111"/>
      <c r="F64" s="111"/>
      <c r="G64" s="111"/>
      <c r="H64" s="111"/>
      <c r="I64" s="111"/>
      <c r="J64" s="111"/>
      <c r="K64" s="111"/>
      <c r="L64" s="111"/>
      <c r="M64" s="111"/>
      <c r="N64" s="111"/>
      <c r="O64" s="111"/>
      <c r="P64" s="111"/>
      <c r="Q64" s="111"/>
      <c r="R64" s="111"/>
      <c r="S64" s="111"/>
      <c r="T64" s="111"/>
      <c r="U64" s="111" t="s">
        <v>116</v>
      </c>
      <c r="V64" s="111" t="s">
        <v>117</v>
      </c>
      <c r="W64" s="111" t="s">
        <v>118</v>
      </c>
      <c r="X64" s="111" t="s">
        <v>119</v>
      </c>
      <c r="Y64" s="111" t="s">
        <v>120</v>
      </c>
      <c r="Z64" s="111" t="s">
        <v>121</v>
      </c>
      <c r="AA64" s="111" t="s">
        <v>122</v>
      </c>
      <c r="AB64" s="111" t="s">
        <v>116</v>
      </c>
      <c r="AC64" s="111" t="s">
        <v>117</v>
      </c>
      <c r="AD64" s="111" t="s">
        <v>118</v>
      </c>
      <c r="AE64" s="111" t="s">
        <v>119</v>
      </c>
      <c r="AF64" s="111" t="s">
        <v>120</v>
      </c>
      <c r="AG64" s="111" t="s">
        <v>121</v>
      </c>
      <c r="AH64" s="111" t="s">
        <v>122</v>
      </c>
    </row>
    <row r="65" spans="1:34" ht="30" customHeight="1" x14ac:dyDescent="0.2">
      <c r="A65" s="74" t="s">
        <v>83</v>
      </c>
      <c r="B65" s="74" t="s">
        <v>84</v>
      </c>
      <c r="C65" s="111"/>
      <c r="D65" s="111"/>
      <c r="E65" s="111"/>
      <c r="F65" s="111"/>
      <c r="G65" s="74" t="s">
        <v>85</v>
      </c>
      <c r="H65" s="74" t="s">
        <v>87</v>
      </c>
      <c r="I65" s="74" t="s">
        <v>85</v>
      </c>
      <c r="J65" s="74" t="s">
        <v>87</v>
      </c>
      <c r="K65" s="74" t="s">
        <v>85</v>
      </c>
      <c r="L65" s="74" t="s">
        <v>87</v>
      </c>
      <c r="M65" s="111"/>
      <c r="N65" s="111"/>
      <c r="O65" s="111"/>
      <c r="P65" s="74" t="s">
        <v>85</v>
      </c>
      <c r="Q65" s="74" t="s">
        <v>87</v>
      </c>
      <c r="R65" s="111"/>
      <c r="S65" s="111"/>
      <c r="T65" s="111"/>
      <c r="U65" s="111"/>
      <c r="V65" s="111"/>
      <c r="W65" s="111"/>
      <c r="X65" s="111"/>
      <c r="Y65" s="111"/>
      <c r="Z65" s="111"/>
      <c r="AA65" s="111"/>
      <c r="AB65" s="111"/>
      <c r="AC65" s="111"/>
      <c r="AD65" s="111"/>
      <c r="AE65" s="111"/>
      <c r="AF65" s="111"/>
      <c r="AG65" s="111"/>
      <c r="AH65" s="111"/>
    </row>
    <row r="66" spans="1:34" ht="30" hidden="1" customHeight="1" x14ac:dyDescent="0.2">
      <c r="A66" s="83"/>
      <c r="B66" s="83"/>
      <c r="C66" s="83"/>
      <c r="D66" s="83"/>
      <c r="E66" s="83"/>
      <c r="F66" s="83"/>
      <c r="G66" s="83"/>
      <c r="H66" s="83"/>
      <c r="I66" s="83"/>
      <c r="J66" s="83"/>
      <c r="K66" s="71"/>
      <c r="L66" s="71"/>
      <c r="M66" s="71"/>
      <c r="N66" s="71"/>
      <c r="O66" s="71"/>
      <c r="P66" s="67"/>
      <c r="Q66" s="67"/>
      <c r="R66" s="67"/>
      <c r="S66" s="67"/>
      <c r="T66" s="71"/>
      <c r="U66" s="67"/>
      <c r="V66" s="67"/>
      <c r="W66" s="67"/>
      <c r="X66" s="67"/>
      <c r="Y66" s="67"/>
      <c r="Z66" s="67"/>
      <c r="AA66" s="67"/>
      <c r="AB66" s="83"/>
      <c r="AC66" s="83"/>
      <c r="AD66" s="83"/>
      <c r="AE66" s="6"/>
      <c r="AF66" s="6"/>
      <c r="AG66" s="6"/>
      <c r="AH66" s="6"/>
    </row>
    <row r="67" spans="1:34" ht="12.95" customHeight="1" x14ac:dyDescent="0.2">
      <c r="A67" s="84">
        <f>'Data input'!$C$39</f>
        <v>10</v>
      </c>
      <c r="B67" s="84">
        <f>A67-1</f>
        <v>9</v>
      </c>
      <c r="C67" s="84">
        <f t="shared" ref="C67:C98" si="0">C66+gammaConc*(A67-B67)*PI()*(D/2000)^2</f>
        <v>27.143360527015812</v>
      </c>
      <c r="D67" s="41" t="str">
        <f>INDEX('Data input'!D:D, MATCH(A67, 'Data input'!C:C, -1))</f>
        <v>MG</v>
      </c>
      <c r="E67" s="84">
        <f>INDEX('Data input'!H:H, MATCH(A67, 'Data input'!C:C, -1))/gammagamma</f>
        <v>17</v>
      </c>
      <c r="F67" s="91">
        <f>INDEX('Data input'!G:G, MATCH(A67, 'Data input'!C:C, -1))/gammaPhi</f>
        <v>27</v>
      </c>
      <c r="G67" s="84">
        <f t="shared" ref="G67:G98" si="1">MAX(0, (IF(Dewatered="Yes", MIN(GWT, Exc), GWT) - (A67+B67)/2) * 9.81)</f>
        <v>0</v>
      </c>
      <c r="H67" s="84">
        <f t="shared" ref="H67:H98" si="2">MAX(0, (IF(Dewatered="Yes", MIN(GWT, Exc), GWT) - B67) * 9.81)</f>
        <v>0</v>
      </c>
      <c r="I67" s="84">
        <f t="shared" ref="I67:I98" si="3">IF(AND(Dewatered="Yes", A67&gt;=Exc),0,J66+(E67 * MAX(0, MIN(A67, Exc) - B67)+ 9.81 * IF(Dewatered="Yes",0,MAX(0, MIN(A67, GWT) - MAX(B67, Exc))))*(A67-B67)/2)</f>
        <v>0</v>
      </c>
      <c r="J67" s="84">
        <f t="shared" ref="J67:J98" si="4">IF(AND(Dewatered="Yes", A67&gt;=Exc),0,J66+ E67 * MAX(0, MIN(A67, Exc) - B67)+ 9.81 * IF(Dewatered="Yes",0,MAX(0, MIN(A67, GWT) - MAX(B67, Exc))))</f>
        <v>0</v>
      </c>
      <c r="K67" s="84">
        <f>I67-G67</f>
        <v>0</v>
      </c>
      <c r="L67" s="84">
        <f>J67-H67</f>
        <v>0</v>
      </c>
      <c r="M67" s="91">
        <f>F67/1</f>
        <v>27</v>
      </c>
      <c r="N67" s="84">
        <f>IF(ISNUMBER(INDEX('Data input'!I:I, MATCH(A67, 'Data input'!C:C, -1))),INDEX('Data input'!I:I, MATCH(A67, 'Data input'!C:C, -1)),1-SIN(RADIANS(F67)))</f>
        <v>0.54600950026045325</v>
      </c>
      <c r="O67" s="84">
        <f>N67*TAN(RADIANS(M67))</f>
        <v>0.2782057360484359</v>
      </c>
      <c r="P67" s="84" cm="1">
        <f t="array" ref="P67">(IFERROR(
    IF(
        OR(
            INDEX('Data input'!$D:$D, MATCH((A67+B67)/2, 'Data input'!$C$39:$C$117, -1)+36)&lt;&gt;"CLAY",
            INDEX('Data input'!$E:$E, MATCH((A67+B67)/2, 'Data input'!$C$39:$C$117, -1)+36)=0
        ),
        0,
        INDEX('Data input'!$E:$E, MATCH((A67+B67)/2, 'Data input'!$C$39:$C$117, -1)+36)
        +
        (
            (INDEX('Data input'!$F:$F, MATCH((A67+B67)/2, 'Data input'!$C$39:$C$117, -1)+36)
            -
            INDEX('Data input'!$E:$E, MATCH((A67+B67)/2, 'Data input'!$C$39:$C$117, -1)+36))
            /
            (INDEX('Data input'!$C:$C, MATCH((A67+B67)/2, 'Data input'!$C$39:$C$117, -1)+36)
            -
            IF(
                MATCH((A67+B67)/2, 'Data input'!$C$39:$C$117, -1)+36=41,
                -1000,
                INDEX('Data input'!$C:$C, MATCH((A67+B67)/2, 'Data input'!$C$39:$C$117, -1)+37)
            ))
        )
        *
        (INDEX('Data input'!$C:$C, MATCH((A67+B67)/2, 'Data input'!$C$39:$C$117, -1)+36) - (A67+B67)/2)
    ),
    ""
))/gammacu</f>
        <v>0</v>
      </c>
      <c r="Q67" s="84" cm="1">
        <f t="array" ref="Q67">(IFERROR(
    IF(
        OR(
            INDEX('Data input'!$D:$D, MATCH(B67+0.00001, 'Data input'!$C$39:$C$117, -1)+36)&lt;&gt;"CLAY",
            INDEX('Data input'!$E:$E, MATCH(B67+0.00001, 'Data input'!$C$39:$C$117, -1)+36)=0
        ),
        0,
        INDEX('Data input'!$E:$E, MATCH(B67+0.00001, 'Data input'!$C$39:$C$117, -1)+36)
        +
        (
            (INDEX('Data input'!$F:$F, MATCH(B67+0.00001, 'Data input'!$C$39:$C$117, -1)+36)
            -
            INDEX('Data input'!$E:$E, MATCH(B67+0.00001, 'Data input'!$C$39:$C$117, -1)+36))
            /
            (INDEX('Data input'!$C:$C, MATCH(B67+0.00001, 'Data input'!$C$39:$C$117, -1)+36)
            -
            IF(
                MATCH(B67+0.00001, 'Data input'!$C$39:$C$117, -1)+36=41,
                -1000,
                INDEX('Data input'!$C:$C, MATCH(B67+0.00001, 'Data input'!$C$39:$C$117, -1)+37)
            ))
        )
        *
        (INDEX('Data input'!$C:$C, MATCH(B67+0.00001, 'Data input'!$C$39:$C$117, -1)+36) - B67)
    ),
    ""
))/gammacu</f>
        <v>0</v>
      </c>
      <c r="R67" s="84" t="str">
        <f t="shared" ref="R67:R98" si="5">IF(UPPER(D67)="CLAY",IF(P67&lt;=25,1,IF(P67&gt;=70,0.5,(1-(P67-25)/70))),"-")</f>
        <v>-</v>
      </c>
      <c r="S67" s="84" t="str">
        <f t="shared" ref="S67:S98" si="6">IF(UPPER(D67)="CLAY",MIN(6*(1+0.2*($A$67-B67)*1000/D),9),"-")</f>
        <v>-</v>
      </c>
      <c r="T67" s="84">
        <f t="shared" ref="T67:T98" si="7">0.176*EXP(0.177*M67)</f>
        <v>20.941413719969297</v>
      </c>
      <c r="U67" s="84">
        <f t="shared" ref="U67:U98" si="8">IF(B67&gt;=Exc,0,MIN(IF(UPPER(D67)="CLAY",R67*P67,O67*K67),limit.fs))</f>
        <v>0</v>
      </c>
      <c r="V67" s="84">
        <f t="shared" ref="V67:V98" si="9">IF(B67&gt;=Exc,0,MIN(U67*0.67,limit.f.t))</f>
        <v>0</v>
      </c>
      <c r="W67" s="84">
        <f t="shared" ref="W67:W98" si="10">IF(B67&gt;=Exc,0,MIN(IF(UPPER(D67)="CLAY",S67*Q67,T67*L67),limit.fb))</f>
        <v>0</v>
      </c>
      <c r="X67" s="84">
        <f t="shared" ref="X67:X98" si="11">IF(B67&gt;=Exc,0,X66+PI()*(D/1000)*(A67-B67)*U67)</f>
        <v>0</v>
      </c>
      <c r="Y67" s="84">
        <f t="shared" ref="Y67:Y98" si="12">IF(B67&gt;=Exc,0,W67*PI()*(D/2000)^2)</f>
        <v>0</v>
      </c>
      <c r="Z67" s="84">
        <f t="shared" ref="Z67:Z98" si="13">IF(B67&gt;=Exc,0,MAX(X67+Y67-C67,0))</f>
        <v>0</v>
      </c>
      <c r="AA67" s="84">
        <f t="shared" ref="AA67:AA98" si="14">IF(B67&gt;=Exc,0,AA66+PI()*(D/1000)*(A67-B67)*V67+gammaConc*(A67-B67)*PI()*(D/2000)^2)</f>
        <v>0</v>
      </c>
      <c r="AB67" s="84">
        <f t="shared" ref="AB67:AB98" si="15">IF(B67&gt;=Exc,0,MIN(O67*K67,limit.fs))</f>
        <v>0</v>
      </c>
      <c r="AC67" s="84">
        <f t="shared" ref="AC67:AC98" si="16">IF(B67&gt;=Exc,0,MIN(AB67*0.67,limit.f.t))</f>
        <v>0</v>
      </c>
      <c r="AD67" s="84">
        <f t="shared" ref="AD67:AD98" si="17">IF(B67&gt;=Exc,0,MIN(T67*L67,limit.fb))</f>
        <v>0</v>
      </c>
      <c r="AE67" s="84">
        <f t="shared" ref="AE67:AE98" si="18">IF(B67&gt;=Exc,0,AE66+PI()*(D/1000)*(A67-B67)*AB67)</f>
        <v>0</v>
      </c>
      <c r="AF67" s="84">
        <f t="shared" ref="AF67:AF98" si="19">IF(B67&gt;=Exc,0,AD67*PI()*(D/2000)^2)</f>
        <v>0</v>
      </c>
      <c r="AG67" s="84">
        <f t="shared" ref="AG67:AG98" si="20">IF(B67&gt;=Exc,0,MAX(AE67+AF67-C67,0))</f>
        <v>0</v>
      </c>
      <c r="AH67" s="84">
        <f t="shared" ref="AH67:AH98" si="21">IF(B67&gt;=Exc,0,AH66+PI()*(D/1000)*(A67-B67)*AC67+gammaConc*(A67-B67)*PI()*(D/2000)^2)</f>
        <v>0</v>
      </c>
    </row>
    <row r="68" spans="1:34" ht="12.95" customHeight="1" x14ac:dyDescent="0.2">
      <c r="A68" s="84">
        <f>B67</f>
        <v>9</v>
      </c>
      <c r="B68" s="84">
        <f t="shared" ref="B68:B107" si="22">A68-1</f>
        <v>8</v>
      </c>
      <c r="C68" s="84">
        <f t="shared" si="0"/>
        <v>54.286721054031624</v>
      </c>
      <c r="D68" s="41" t="str">
        <f>INDEX('Data input'!D:D, MATCH(A68, 'Data input'!C:C, -1))</f>
        <v>MG</v>
      </c>
      <c r="E68" s="84">
        <f>INDEX('Data input'!H:H, MATCH(A68, 'Data input'!C:C, -1))/gammagamma</f>
        <v>17</v>
      </c>
      <c r="F68" s="91">
        <f>INDEX('Data input'!G:G, MATCH(A68, 'Data input'!C:C, -1))/gammaPhi</f>
        <v>27</v>
      </c>
      <c r="G68" s="84">
        <f t="shared" si="1"/>
        <v>0</v>
      </c>
      <c r="H68" s="84">
        <f t="shared" si="2"/>
        <v>0</v>
      </c>
      <c r="I68" s="84">
        <f t="shared" si="3"/>
        <v>0</v>
      </c>
      <c r="J68" s="84">
        <f t="shared" si="4"/>
        <v>0</v>
      </c>
      <c r="K68" s="84">
        <f t="shared" ref="K68:K107" si="23">I68-G68</f>
        <v>0</v>
      </c>
      <c r="L68" s="84">
        <f t="shared" ref="L68:L107" si="24">J68-H68</f>
        <v>0</v>
      </c>
      <c r="M68" s="91">
        <f t="shared" ref="M68:M116" si="25">F68/1</f>
        <v>27</v>
      </c>
      <c r="N68" s="84">
        <f>IF(ISNUMBER(INDEX('Data input'!I:I, MATCH(A68, 'Data input'!C:C, -1))),INDEX('Data input'!I:I, MATCH(A68, 'Data input'!C:C, -1)),1-SIN(RADIANS(F68)))</f>
        <v>0.54600950026045325</v>
      </c>
      <c r="O68" s="84">
        <f t="shared" ref="O68:O107" si="26">N68*TAN(RADIANS(M68))</f>
        <v>0.2782057360484359</v>
      </c>
      <c r="P68" s="84" cm="1">
        <f t="array" ref="P68">(IFERROR(
    IF(
        OR(
            INDEX('Data input'!$D:$D, MATCH((A68+B68)/2, 'Data input'!$C$39:$C$117, -1)+36)&lt;&gt;"CLAY",
            INDEX('Data input'!$E:$E, MATCH((A68+B68)/2, 'Data input'!$C$39:$C$117, -1)+36)=0
        ),
        0,
        INDEX('Data input'!$E:$E, MATCH((A68+B68)/2, 'Data input'!$C$39:$C$117, -1)+36)
        +
        (
            (INDEX('Data input'!$F:$F, MATCH((A68+B68)/2, 'Data input'!$C$39:$C$117, -1)+36)
            -
            INDEX('Data input'!$E:$E, MATCH((A68+B68)/2, 'Data input'!$C$39:$C$117, -1)+36))
            /
            (INDEX('Data input'!$C:$C, MATCH((A68+B68)/2, 'Data input'!$C$39:$C$117, -1)+36)
            -
            IF(
                MATCH((A68+B68)/2, 'Data input'!$C$39:$C$117, -1)+36=41,
                -1000,
                INDEX('Data input'!$C:$C, MATCH((A68+B68)/2, 'Data input'!$C$39:$C$117, -1)+37)
            ))
        )
        *
        (INDEX('Data input'!$C:$C, MATCH((A68+B68)/2, 'Data input'!$C$39:$C$117, -1)+36) - (A68+B68)/2)
    ),
    ""
))/gammacu</f>
        <v>0</v>
      </c>
      <c r="Q68" s="84" cm="1">
        <f t="array" ref="Q68">(IFERROR(
    IF(
        OR(
            INDEX('Data input'!$D:$D, MATCH(B68+0.00001, 'Data input'!$C$39:$C$117, -1)+36)&lt;&gt;"CLAY",
            INDEX('Data input'!$E:$E, MATCH(B68+0.00001, 'Data input'!$C$39:$C$117, -1)+36)=0
        ),
        0,
        INDEX('Data input'!$E:$E, MATCH(B68+0.00001, 'Data input'!$C$39:$C$117, -1)+36)
        +
        (
            (INDEX('Data input'!$F:$F, MATCH(B68+0.00001, 'Data input'!$C$39:$C$117, -1)+36)
            -
            INDEX('Data input'!$E:$E, MATCH(B68+0.00001, 'Data input'!$C$39:$C$117, -1)+36))
            /
            (INDEX('Data input'!$C:$C, MATCH(B68+0.00001, 'Data input'!$C$39:$C$117, -1)+36)
            -
            IF(
                MATCH(B68+0.00001, 'Data input'!$C$39:$C$117, -1)+36=41,
                -1000,
                INDEX('Data input'!$C:$C, MATCH(B68+0.00001, 'Data input'!$C$39:$C$117, -1)+37)
            ))
        )
        *
        (INDEX('Data input'!$C:$C, MATCH(B68+0.00001, 'Data input'!$C$39:$C$117, -1)+36) - B68)
    ),
    ""
))/gammacu</f>
        <v>0</v>
      </c>
      <c r="R68" s="84" t="str">
        <f t="shared" si="5"/>
        <v>-</v>
      </c>
      <c r="S68" s="84" t="str">
        <f t="shared" si="6"/>
        <v>-</v>
      </c>
      <c r="T68" s="84">
        <f t="shared" si="7"/>
        <v>20.941413719969297</v>
      </c>
      <c r="U68" s="84">
        <f t="shared" si="8"/>
        <v>0</v>
      </c>
      <c r="V68" s="84">
        <f t="shared" si="9"/>
        <v>0</v>
      </c>
      <c r="W68" s="84">
        <f t="shared" si="10"/>
        <v>0</v>
      </c>
      <c r="X68" s="84">
        <f t="shared" si="11"/>
        <v>0</v>
      </c>
      <c r="Y68" s="84">
        <f t="shared" si="12"/>
        <v>0</v>
      </c>
      <c r="Z68" s="84">
        <f t="shared" si="13"/>
        <v>0</v>
      </c>
      <c r="AA68" s="84">
        <f t="shared" si="14"/>
        <v>0</v>
      </c>
      <c r="AB68" s="84">
        <f t="shared" si="15"/>
        <v>0</v>
      </c>
      <c r="AC68" s="84">
        <f t="shared" si="16"/>
        <v>0</v>
      </c>
      <c r="AD68" s="84">
        <f t="shared" si="17"/>
        <v>0</v>
      </c>
      <c r="AE68" s="84">
        <f t="shared" si="18"/>
        <v>0</v>
      </c>
      <c r="AF68" s="84">
        <f t="shared" si="19"/>
        <v>0</v>
      </c>
      <c r="AG68" s="84">
        <f t="shared" si="20"/>
        <v>0</v>
      </c>
      <c r="AH68" s="84">
        <f t="shared" si="21"/>
        <v>0</v>
      </c>
    </row>
    <row r="69" spans="1:34" ht="14.1" customHeight="1" x14ac:dyDescent="0.2">
      <c r="A69" s="84">
        <f t="shared" ref="A69:A107" si="27">B68</f>
        <v>8</v>
      </c>
      <c r="B69" s="84">
        <f t="shared" si="22"/>
        <v>7</v>
      </c>
      <c r="C69" s="84">
        <f t="shared" si="0"/>
        <v>81.430081581047432</v>
      </c>
      <c r="D69" s="41" t="str">
        <f>INDEX('Data input'!D:D, MATCH(A69, 'Data input'!C:C, -1))</f>
        <v>MG</v>
      </c>
      <c r="E69" s="84">
        <f>INDEX('Data input'!H:H, MATCH(A69, 'Data input'!C:C, -1))/gammagamma</f>
        <v>17</v>
      </c>
      <c r="F69" s="91">
        <f>INDEX('Data input'!G:G, MATCH(A69, 'Data input'!C:C, -1))/gammaPhi</f>
        <v>27</v>
      </c>
      <c r="G69" s="84">
        <f t="shared" si="1"/>
        <v>0</v>
      </c>
      <c r="H69" s="84">
        <f t="shared" si="2"/>
        <v>0</v>
      </c>
      <c r="I69" s="84">
        <f t="shared" si="3"/>
        <v>0</v>
      </c>
      <c r="J69" s="84">
        <f t="shared" si="4"/>
        <v>0</v>
      </c>
      <c r="K69" s="84">
        <f t="shared" si="23"/>
        <v>0</v>
      </c>
      <c r="L69" s="84">
        <f t="shared" si="24"/>
        <v>0</v>
      </c>
      <c r="M69" s="91">
        <f t="shared" si="25"/>
        <v>27</v>
      </c>
      <c r="N69" s="84">
        <f>IF(ISNUMBER(INDEX('Data input'!I:I, MATCH(A69, 'Data input'!C:C, -1))),INDEX('Data input'!I:I, MATCH(A69, 'Data input'!C:C, -1)),1-SIN(RADIANS(F69)))</f>
        <v>0.54600950026045325</v>
      </c>
      <c r="O69" s="84">
        <f t="shared" si="26"/>
        <v>0.2782057360484359</v>
      </c>
      <c r="P69" s="84" cm="1">
        <f t="array" ref="P69">(IFERROR(
    IF(
        OR(
            INDEX('Data input'!$D:$D, MATCH((A69+B69)/2, 'Data input'!$C$39:$C$117, -1)+36)&lt;&gt;"CLAY",
            INDEX('Data input'!$E:$E, MATCH((A69+B69)/2, 'Data input'!$C$39:$C$117, -1)+36)=0
        ),
        0,
        INDEX('Data input'!$E:$E, MATCH((A69+B69)/2, 'Data input'!$C$39:$C$117, -1)+36)
        +
        (
            (INDEX('Data input'!$F:$F, MATCH((A69+B69)/2, 'Data input'!$C$39:$C$117, -1)+36)
            -
            INDEX('Data input'!$E:$E, MATCH((A69+B69)/2, 'Data input'!$C$39:$C$117, -1)+36))
            /
            (INDEX('Data input'!$C:$C, MATCH((A69+B69)/2, 'Data input'!$C$39:$C$117, -1)+36)
            -
            IF(
                MATCH((A69+B69)/2, 'Data input'!$C$39:$C$117, -1)+36=41,
                -1000,
                INDEX('Data input'!$C:$C, MATCH((A69+B69)/2, 'Data input'!$C$39:$C$117, -1)+37)
            ))
        )
        *
        (INDEX('Data input'!$C:$C, MATCH((A69+B69)/2, 'Data input'!$C$39:$C$117, -1)+36) - (A69+B69)/2)
    ),
    ""
))/gammacu</f>
        <v>0</v>
      </c>
      <c r="Q69" s="84" cm="1">
        <f t="array" ref="Q69">(IFERROR(
    IF(
        OR(
            INDEX('Data input'!$D:$D, MATCH(B69+0.00001, 'Data input'!$C$39:$C$117, -1)+36)&lt;&gt;"CLAY",
            INDEX('Data input'!$E:$E, MATCH(B69+0.00001, 'Data input'!$C$39:$C$117, -1)+36)=0
        ),
        0,
        INDEX('Data input'!$E:$E, MATCH(B69+0.00001, 'Data input'!$C$39:$C$117, -1)+36)
        +
        (
            (INDEX('Data input'!$F:$F, MATCH(B69+0.00001, 'Data input'!$C$39:$C$117, -1)+36)
            -
            INDEX('Data input'!$E:$E, MATCH(B69+0.00001, 'Data input'!$C$39:$C$117, -1)+36))
            /
            (INDEX('Data input'!$C:$C, MATCH(B69+0.00001, 'Data input'!$C$39:$C$117, -1)+36)
            -
            IF(
                MATCH(B69+0.00001, 'Data input'!$C$39:$C$117, -1)+36=41,
                -1000,
                INDEX('Data input'!$C:$C, MATCH(B69+0.00001, 'Data input'!$C$39:$C$117, -1)+37)
            ))
        )
        *
        (INDEX('Data input'!$C:$C, MATCH(B69+0.00001, 'Data input'!$C$39:$C$117, -1)+36) - B69)
    ),
    ""
))/gammacu</f>
        <v>0</v>
      </c>
      <c r="R69" s="84" t="str">
        <f t="shared" si="5"/>
        <v>-</v>
      </c>
      <c r="S69" s="84" t="str">
        <f t="shared" si="6"/>
        <v>-</v>
      </c>
      <c r="T69" s="84">
        <f t="shared" si="7"/>
        <v>20.941413719969297</v>
      </c>
      <c r="U69" s="84">
        <f t="shared" si="8"/>
        <v>0</v>
      </c>
      <c r="V69" s="84">
        <f t="shared" si="9"/>
        <v>0</v>
      </c>
      <c r="W69" s="84">
        <f t="shared" si="10"/>
        <v>0</v>
      </c>
      <c r="X69" s="84">
        <f t="shared" si="11"/>
        <v>0</v>
      </c>
      <c r="Y69" s="84">
        <f t="shared" si="12"/>
        <v>0</v>
      </c>
      <c r="Z69" s="84">
        <f t="shared" si="13"/>
        <v>0</v>
      </c>
      <c r="AA69" s="84">
        <f t="shared" si="14"/>
        <v>0</v>
      </c>
      <c r="AB69" s="84">
        <f t="shared" si="15"/>
        <v>0</v>
      </c>
      <c r="AC69" s="84">
        <f t="shared" si="16"/>
        <v>0</v>
      </c>
      <c r="AD69" s="84">
        <f t="shared" si="17"/>
        <v>0</v>
      </c>
      <c r="AE69" s="84">
        <f t="shared" si="18"/>
        <v>0</v>
      </c>
      <c r="AF69" s="84">
        <f t="shared" si="19"/>
        <v>0</v>
      </c>
      <c r="AG69" s="84">
        <f t="shared" si="20"/>
        <v>0</v>
      </c>
      <c r="AH69" s="84">
        <f t="shared" si="21"/>
        <v>0</v>
      </c>
    </row>
    <row r="70" spans="1:34" ht="14.1" customHeight="1" x14ac:dyDescent="0.2">
      <c r="A70" s="84">
        <f t="shared" si="27"/>
        <v>7</v>
      </c>
      <c r="B70" s="84">
        <f t="shared" si="22"/>
        <v>6</v>
      </c>
      <c r="C70" s="84">
        <f t="shared" si="0"/>
        <v>108.57344210806325</v>
      </c>
      <c r="D70" s="41" t="str">
        <f>INDEX('Data input'!D:D, MATCH(A70, 'Data input'!C:C, -1))</f>
        <v>CLAY</v>
      </c>
      <c r="E70" s="84">
        <f>INDEX('Data input'!H:H, MATCH(A70, 'Data input'!C:C, -1))/gammagamma</f>
        <v>18</v>
      </c>
      <c r="F70" s="91">
        <f>INDEX('Data input'!G:G, MATCH(A70, 'Data input'!C:C, -1))/gammaPhi</f>
        <v>22</v>
      </c>
      <c r="G70" s="84">
        <f t="shared" si="1"/>
        <v>0</v>
      </c>
      <c r="H70" s="84">
        <f t="shared" si="2"/>
        <v>0</v>
      </c>
      <c r="I70" s="84">
        <f t="shared" si="3"/>
        <v>0</v>
      </c>
      <c r="J70" s="84">
        <f t="shared" si="4"/>
        <v>0</v>
      </c>
      <c r="K70" s="84">
        <f t="shared" si="23"/>
        <v>0</v>
      </c>
      <c r="L70" s="84">
        <f t="shared" si="24"/>
        <v>0</v>
      </c>
      <c r="M70" s="91">
        <f t="shared" si="25"/>
        <v>22</v>
      </c>
      <c r="N70" s="84">
        <f>IF(ISNUMBER(INDEX('Data input'!I:I, MATCH(A70, 'Data input'!C:C, -1))),INDEX('Data input'!I:I, MATCH(A70, 'Data input'!C:C, -1)),1-SIN(RADIANS(F70)))</f>
        <v>0.62539340658408804</v>
      </c>
      <c r="O70" s="84">
        <f t="shared" si="26"/>
        <v>0.25267533772436079</v>
      </c>
      <c r="P70" s="84" cm="1">
        <f t="array" ref="P70">(IFERROR(
    IF(
        OR(
            INDEX('Data input'!$D:$D, MATCH((A70+B70)/2, 'Data input'!$C$39:$C$117, -1)+36)&lt;&gt;"CLAY",
            INDEX('Data input'!$E:$E, MATCH((A70+B70)/2, 'Data input'!$C$39:$C$117, -1)+36)=0
        ),
        0,
        INDEX('Data input'!$E:$E, MATCH((A70+B70)/2, 'Data input'!$C$39:$C$117, -1)+36)
        +
        (
            (INDEX('Data input'!$F:$F, MATCH((A70+B70)/2, 'Data input'!$C$39:$C$117, -1)+36)
            -
            INDEX('Data input'!$E:$E, MATCH((A70+B70)/2, 'Data input'!$C$39:$C$117, -1)+36))
            /
            (INDEX('Data input'!$C:$C, MATCH((A70+B70)/2, 'Data input'!$C$39:$C$117, -1)+36)
            -
            IF(
                MATCH((A70+B70)/2, 'Data input'!$C$39:$C$117, -1)+36=41,
                -1000,
                INDEX('Data input'!$C:$C, MATCH((A70+B70)/2, 'Data input'!$C$39:$C$117, -1)+37)
            ))
        )
        *
        (INDEX('Data input'!$C:$C, MATCH((A70+B70)/2, 'Data input'!$C$39:$C$117, -1)+36) - (A70+B70)/2)
    ),
    ""
))/gammacu</f>
        <v>0</v>
      </c>
      <c r="Q70" s="84" cm="1">
        <f t="array" ref="Q70">(IFERROR(
    IF(
        OR(
            INDEX('Data input'!$D:$D, MATCH(B70+0.00001, 'Data input'!$C$39:$C$117, -1)+36)&lt;&gt;"CLAY",
            INDEX('Data input'!$E:$E, MATCH(B70+0.00001, 'Data input'!$C$39:$C$117, -1)+36)=0
        ),
        0,
        INDEX('Data input'!$E:$E, MATCH(B70+0.00001, 'Data input'!$C$39:$C$117, -1)+36)
        +
        (
            (INDEX('Data input'!$F:$F, MATCH(B70+0.00001, 'Data input'!$C$39:$C$117, -1)+36)
            -
            INDEX('Data input'!$E:$E, MATCH(B70+0.00001, 'Data input'!$C$39:$C$117, -1)+36))
            /
            (INDEX('Data input'!$C:$C, MATCH(B70+0.00001, 'Data input'!$C$39:$C$117, -1)+36)
            -
            IF(
                MATCH(B70+0.00001, 'Data input'!$C$39:$C$117, -1)+36=41,
                -1000,
                INDEX('Data input'!$C:$C, MATCH(B70+0.00001, 'Data input'!$C$39:$C$117, -1)+37)
            ))
        )
        *
        (INDEX('Data input'!$C:$C, MATCH(B70+0.00001, 'Data input'!$C$39:$C$117, -1)+36) - B70)
    ),
    ""
))/gammacu</f>
        <v>0</v>
      </c>
      <c r="R70" s="84">
        <f t="shared" si="5"/>
        <v>1</v>
      </c>
      <c r="S70" s="84">
        <f t="shared" si="6"/>
        <v>9</v>
      </c>
      <c r="T70" s="84">
        <f t="shared" si="7"/>
        <v>8.6428182507316738</v>
      </c>
      <c r="U70" s="84">
        <f t="shared" si="8"/>
        <v>0</v>
      </c>
      <c r="V70" s="84">
        <f t="shared" si="9"/>
        <v>0</v>
      </c>
      <c r="W70" s="84">
        <f t="shared" si="10"/>
        <v>0</v>
      </c>
      <c r="X70" s="84">
        <f t="shared" si="11"/>
        <v>0</v>
      </c>
      <c r="Y70" s="84">
        <f t="shared" si="12"/>
        <v>0</v>
      </c>
      <c r="Z70" s="84">
        <f t="shared" si="13"/>
        <v>0</v>
      </c>
      <c r="AA70" s="84">
        <f t="shared" si="14"/>
        <v>0</v>
      </c>
      <c r="AB70" s="84">
        <f t="shared" si="15"/>
        <v>0</v>
      </c>
      <c r="AC70" s="84">
        <f t="shared" si="16"/>
        <v>0</v>
      </c>
      <c r="AD70" s="84">
        <f t="shared" si="17"/>
        <v>0</v>
      </c>
      <c r="AE70" s="84">
        <f t="shared" si="18"/>
        <v>0</v>
      </c>
      <c r="AF70" s="84">
        <f t="shared" si="19"/>
        <v>0</v>
      </c>
      <c r="AG70" s="84">
        <f t="shared" si="20"/>
        <v>0</v>
      </c>
      <c r="AH70" s="84">
        <f t="shared" si="21"/>
        <v>0</v>
      </c>
    </row>
    <row r="71" spans="1:34" ht="14.1" customHeight="1" x14ac:dyDescent="0.2">
      <c r="A71" s="84">
        <f t="shared" si="27"/>
        <v>6</v>
      </c>
      <c r="B71" s="84">
        <f t="shared" si="22"/>
        <v>5</v>
      </c>
      <c r="C71" s="84">
        <f t="shared" si="0"/>
        <v>135.71680263507906</v>
      </c>
      <c r="D71" s="41" t="str">
        <f>INDEX('Data input'!D:D, MATCH(A71, 'Data input'!C:C, -1))</f>
        <v>CLAY</v>
      </c>
      <c r="E71" s="84">
        <f>INDEX('Data input'!H:H, MATCH(A71, 'Data input'!C:C, -1))/gammagamma</f>
        <v>18</v>
      </c>
      <c r="F71" s="91">
        <f>INDEX('Data input'!G:G, MATCH(A71, 'Data input'!C:C, -1))/gammaPhi</f>
        <v>22</v>
      </c>
      <c r="G71" s="84">
        <f t="shared" si="1"/>
        <v>0</v>
      </c>
      <c r="H71" s="84">
        <f t="shared" si="2"/>
        <v>0</v>
      </c>
      <c r="I71" s="84">
        <f t="shared" si="3"/>
        <v>0</v>
      </c>
      <c r="J71" s="84">
        <f t="shared" si="4"/>
        <v>0</v>
      </c>
      <c r="K71" s="84">
        <f t="shared" si="23"/>
        <v>0</v>
      </c>
      <c r="L71" s="84">
        <f t="shared" si="24"/>
        <v>0</v>
      </c>
      <c r="M71" s="91">
        <f t="shared" si="25"/>
        <v>22</v>
      </c>
      <c r="N71" s="84">
        <f>IF(ISNUMBER(INDEX('Data input'!I:I, MATCH(A71, 'Data input'!C:C, -1))),INDEX('Data input'!I:I, MATCH(A71, 'Data input'!C:C, -1)),1-SIN(RADIANS(F71)))</f>
        <v>0.62539340658408804</v>
      </c>
      <c r="O71" s="84">
        <f t="shared" si="26"/>
        <v>0.25267533772436079</v>
      </c>
      <c r="P71" s="84" cm="1">
        <f t="array" ref="P71">(IFERROR(
    IF(
        OR(
            INDEX('Data input'!$D:$D, MATCH((A71+B71)/2, 'Data input'!$C$39:$C$117, -1)+36)&lt;&gt;"CLAY",
            INDEX('Data input'!$E:$E, MATCH((A71+B71)/2, 'Data input'!$C$39:$C$117, -1)+36)=0
        ),
        0,
        INDEX('Data input'!$E:$E, MATCH((A71+B71)/2, 'Data input'!$C$39:$C$117, -1)+36)
        +
        (
            (INDEX('Data input'!$F:$F, MATCH((A71+B71)/2, 'Data input'!$C$39:$C$117, -1)+36)
            -
            INDEX('Data input'!$E:$E, MATCH((A71+B71)/2, 'Data input'!$C$39:$C$117, -1)+36))
            /
            (INDEX('Data input'!$C:$C, MATCH((A71+B71)/2, 'Data input'!$C$39:$C$117, -1)+36)
            -
            IF(
                MATCH((A71+B71)/2, 'Data input'!$C$39:$C$117, -1)+36=41,
                -1000,
                INDEX('Data input'!$C:$C, MATCH((A71+B71)/2, 'Data input'!$C$39:$C$117, -1)+37)
            ))
        )
        *
        (INDEX('Data input'!$C:$C, MATCH((A71+B71)/2, 'Data input'!$C$39:$C$117, -1)+36) - (A71+B71)/2)
    ),
    ""
))/gammacu</f>
        <v>0</v>
      </c>
      <c r="Q71" s="84" cm="1">
        <f t="array" ref="Q71">(IFERROR(
    IF(
        OR(
            INDEX('Data input'!$D:$D, MATCH(B71+0.00001, 'Data input'!$C$39:$C$117, -1)+36)&lt;&gt;"CLAY",
            INDEX('Data input'!$E:$E, MATCH(B71+0.00001, 'Data input'!$C$39:$C$117, -1)+36)=0
        ),
        0,
        INDEX('Data input'!$E:$E, MATCH(B71+0.00001, 'Data input'!$C$39:$C$117, -1)+36)
        +
        (
            (INDEX('Data input'!$F:$F, MATCH(B71+0.00001, 'Data input'!$C$39:$C$117, -1)+36)
            -
            INDEX('Data input'!$E:$E, MATCH(B71+0.00001, 'Data input'!$C$39:$C$117, -1)+36))
            /
            (INDEX('Data input'!$C:$C, MATCH(B71+0.00001, 'Data input'!$C$39:$C$117, -1)+36)
            -
            IF(
                MATCH(B71+0.00001, 'Data input'!$C$39:$C$117, -1)+36=41,
                -1000,
                INDEX('Data input'!$C:$C, MATCH(B71+0.00001, 'Data input'!$C$39:$C$117, -1)+37)
            ))
        )
        *
        (INDEX('Data input'!$C:$C, MATCH(B71+0.00001, 'Data input'!$C$39:$C$117, -1)+36) - B71)
    ),
    ""
))/gammacu</f>
        <v>0</v>
      </c>
      <c r="R71" s="84">
        <f t="shared" si="5"/>
        <v>1</v>
      </c>
      <c r="S71" s="84">
        <f t="shared" si="6"/>
        <v>9</v>
      </c>
      <c r="T71" s="84">
        <f t="shared" si="7"/>
        <v>8.6428182507316738</v>
      </c>
      <c r="U71" s="84">
        <f t="shared" si="8"/>
        <v>0</v>
      </c>
      <c r="V71" s="84">
        <f t="shared" si="9"/>
        <v>0</v>
      </c>
      <c r="W71" s="84">
        <f t="shared" si="10"/>
        <v>0</v>
      </c>
      <c r="X71" s="84">
        <f t="shared" si="11"/>
        <v>0</v>
      </c>
      <c r="Y71" s="84">
        <f t="shared" si="12"/>
        <v>0</v>
      </c>
      <c r="Z71" s="84">
        <f t="shared" si="13"/>
        <v>0</v>
      </c>
      <c r="AA71" s="84">
        <f t="shared" si="14"/>
        <v>0</v>
      </c>
      <c r="AB71" s="84">
        <f t="shared" si="15"/>
        <v>0</v>
      </c>
      <c r="AC71" s="84">
        <f t="shared" si="16"/>
        <v>0</v>
      </c>
      <c r="AD71" s="84">
        <f t="shared" si="17"/>
        <v>0</v>
      </c>
      <c r="AE71" s="84">
        <f t="shared" si="18"/>
        <v>0</v>
      </c>
      <c r="AF71" s="84">
        <f t="shared" si="19"/>
        <v>0</v>
      </c>
      <c r="AG71" s="84">
        <f t="shared" si="20"/>
        <v>0</v>
      </c>
      <c r="AH71" s="84">
        <f t="shared" si="21"/>
        <v>0</v>
      </c>
    </row>
    <row r="72" spans="1:34" ht="14.1" customHeight="1" x14ac:dyDescent="0.2">
      <c r="A72" s="84">
        <f t="shared" si="27"/>
        <v>5</v>
      </c>
      <c r="B72" s="84">
        <f t="shared" si="22"/>
        <v>4</v>
      </c>
      <c r="C72" s="84">
        <f t="shared" si="0"/>
        <v>162.86016316209486</v>
      </c>
      <c r="D72" s="41" t="str">
        <f>INDEX('Data input'!D:D, MATCH(A72, 'Data input'!C:C, -1))</f>
        <v>CLAY</v>
      </c>
      <c r="E72" s="84">
        <f>INDEX('Data input'!H:H, MATCH(A72, 'Data input'!C:C, -1))/gammagamma</f>
        <v>18</v>
      </c>
      <c r="F72" s="91">
        <f>INDEX('Data input'!G:G, MATCH(A72, 'Data input'!C:C, -1))/gammaPhi</f>
        <v>22</v>
      </c>
      <c r="G72" s="84">
        <f t="shared" si="1"/>
        <v>4.9050000000000002</v>
      </c>
      <c r="H72" s="84">
        <f t="shared" si="2"/>
        <v>9.81</v>
      </c>
      <c r="I72" s="84">
        <f t="shared" si="3"/>
        <v>4.9050000000000002</v>
      </c>
      <c r="J72" s="84">
        <f t="shared" si="4"/>
        <v>9.81</v>
      </c>
      <c r="K72" s="84">
        <f t="shared" si="23"/>
        <v>0</v>
      </c>
      <c r="L72" s="84">
        <f t="shared" si="24"/>
        <v>0</v>
      </c>
      <c r="M72" s="91">
        <f t="shared" si="25"/>
        <v>22</v>
      </c>
      <c r="N72" s="84">
        <f>IF(ISNUMBER(INDEX('Data input'!I:I, MATCH(A72, 'Data input'!C:C, -1))),INDEX('Data input'!I:I, MATCH(A72, 'Data input'!C:C, -1)),1-SIN(RADIANS(F72)))</f>
        <v>0.62539340658408804</v>
      </c>
      <c r="O72" s="84">
        <f t="shared" si="26"/>
        <v>0.25267533772436079</v>
      </c>
      <c r="P72" s="84" cm="1">
        <f t="array" ref="P72">(IFERROR(
    IF(
        OR(
            INDEX('Data input'!$D:$D, MATCH((A72+B72)/2, 'Data input'!$C$39:$C$117, -1)+36)&lt;&gt;"CLAY",
            INDEX('Data input'!$E:$E, MATCH((A72+B72)/2, 'Data input'!$C$39:$C$117, -1)+36)=0
        ),
        0,
        INDEX('Data input'!$E:$E, MATCH((A72+B72)/2, 'Data input'!$C$39:$C$117, -1)+36)
        +
        (
            (INDEX('Data input'!$F:$F, MATCH((A72+B72)/2, 'Data input'!$C$39:$C$117, -1)+36)
            -
            INDEX('Data input'!$E:$E, MATCH((A72+B72)/2, 'Data input'!$C$39:$C$117, -1)+36))
            /
            (INDEX('Data input'!$C:$C, MATCH((A72+B72)/2, 'Data input'!$C$39:$C$117, -1)+36)
            -
            IF(
                MATCH((A72+B72)/2, 'Data input'!$C$39:$C$117, -1)+36=41,
                -1000,
                INDEX('Data input'!$C:$C, MATCH((A72+B72)/2, 'Data input'!$C$39:$C$117, -1)+37)
            ))
        )
        *
        (INDEX('Data input'!$C:$C, MATCH((A72+B72)/2, 'Data input'!$C$39:$C$117, -1)+36) - (A72+B72)/2)
    ),
    ""
))/gammacu</f>
        <v>0</v>
      </c>
      <c r="Q72" s="84" cm="1">
        <f t="array" ref="Q72">(IFERROR(
    IF(
        OR(
            INDEX('Data input'!$D:$D, MATCH(B72+0.00001, 'Data input'!$C$39:$C$117, -1)+36)&lt;&gt;"CLAY",
            INDEX('Data input'!$E:$E, MATCH(B72+0.00001, 'Data input'!$C$39:$C$117, -1)+36)=0
        ),
        0,
        INDEX('Data input'!$E:$E, MATCH(B72+0.00001, 'Data input'!$C$39:$C$117, -1)+36)
        +
        (
            (INDEX('Data input'!$F:$F, MATCH(B72+0.00001, 'Data input'!$C$39:$C$117, -1)+36)
            -
            INDEX('Data input'!$E:$E, MATCH(B72+0.00001, 'Data input'!$C$39:$C$117, -1)+36))
            /
            (INDEX('Data input'!$C:$C, MATCH(B72+0.00001, 'Data input'!$C$39:$C$117, -1)+36)
            -
            IF(
                MATCH(B72+0.00001, 'Data input'!$C$39:$C$117, -1)+36=41,
                -1000,
                INDEX('Data input'!$C:$C, MATCH(B72+0.00001, 'Data input'!$C$39:$C$117, -1)+37)
            ))
        )
        *
        (INDEX('Data input'!$C:$C, MATCH(B72+0.00001, 'Data input'!$C$39:$C$117, -1)+36) - B72)
    ),
    ""
))/gammacu</f>
        <v>0</v>
      </c>
      <c r="R72" s="84">
        <f t="shared" si="5"/>
        <v>1</v>
      </c>
      <c r="S72" s="84">
        <f t="shared" si="6"/>
        <v>9</v>
      </c>
      <c r="T72" s="84">
        <f t="shared" si="7"/>
        <v>8.6428182507316738</v>
      </c>
      <c r="U72" s="84">
        <f t="shared" si="8"/>
        <v>0</v>
      </c>
      <c r="V72" s="84">
        <f t="shared" si="9"/>
        <v>0</v>
      </c>
      <c r="W72" s="84">
        <f t="shared" si="10"/>
        <v>0</v>
      </c>
      <c r="X72" s="84">
        <f t="shared" si="11"/>
        <v>0</v>
      </c>
      <c r="Y72" s="84">
        <f t="shared" si="12"/>
        <v>0</v>
      </c>
      <c r="Z72" s="84">
        <f t="shared" si="13"/>
        <v>0</v>
      </c>
      <c r="AA72" s="84">
        <f t="shared" si="14"/>
        <v>0</v>
      </c>
      <c r="AB72" s="84">
        <f t="shared" si="15"/>
        <v>0</v>
      </c>
      <c r="AC72" s="84">
        <f t="shared" si="16"/>
        <v>0</v>
      </c>
      <c r="AD72" s="84">
        <f t="shared" si="17"/>
        <v>0</v>
      </c>
      <c r="AE72" s="84">
        <f t="shared" si="18"/>
        <v>0</v>
      </c>
      <c r="AF72" s="84">
        <f t="shared" si="19"/>
        <v>0</v>
      </c>
      <c r="AG72" s="84">
        <f t="shared" si="20"/>
        <v>0</v>
      </c>
      <c r="AH72" s="84">
        <f t="shared" si="21"/>
        <v>0</v>
      </c>
    </row>
    <row r="73" spans="1:34" ht="14.1" customHeight="1" x14ac:dyDescent="0.2">
      <c r="A73" s="84">
        <f t="shared" si="27"/>
        <v>4</v>
      </c>
      <c r="B73" s="84">
        <f t="shared" si="22"/>
        <v>3</v>
      </c>
      <c r="C73" s="84">
        <f t="shared" si="0"/>
        <v>190.00352368911066</v>
      </c>
      <c r="D73" s="41" t="str">
        <f>INDEX('Data input'!D:D, MATCH(A73, 'Data input'!C:C, -1))</f>
        <v>CLAY</v>
      </c>
      <c r="E73" s="84">
        <f>INDEX('Data input'!H:H, MATCH(A73, 'Data input'!C:C, -1))/gammagamma</f>
        <v>18</v>
      </c>
      <c r="F73" s="91">
        <f>INDEX('Data input'!G:G, MATCH(A73, 'Data input'!C:C, -1))/gammaPhi</f>
        <v>22</v>
      </c>
      <c r="G73" s="84">
        <f t="shared" si="1"/>
        <v>14.715</v>
      </c>
      <c r="H73" s="84">
        <f t="shared" si="2"/>
        <v>19.62</v>
      </c>
      <c r="I73" s="84">
        <f t="shared" si="3"/>
        <v>14.715</v>
      </c>
      <c r="J73" s="84">
        <f t="shared" si="4"/>
        <v>19.62</v>
      </c>
      <c r="K73" s="84">
        <f t="shared" si="23"/>
        <v>0</v>
      </c>
      <c r="L73" s="84">
        <f t="shared" si="24"/>
        <v>0</v>
      </c>
      <c r="M73" s="91">
        <f t="shared" si="25"/>
        <v>22</v>
      </c>
      <c r="N73" s="84">
        <f>IF(ISNUMBER(INDEX('Data input'!I:I, MATCH(A73, 'Data input'!C:C, -1))),INDEX('Data input'!I:I, MATCH(A73, 'Data input'!C:C, -1)),1-SIN(RADIANS(F73)))</f>
        <v>0.62539340658408804</v>
      </c>
      <c r="O73" s="84">
        <f t="shared" si="26"/>
        <v>0.25267533772436079</v>
      </c>
      <c r="P73" s="84" cm="1">
        <f t="array" ref="P73">(IFERROR(
    IF(
        OR(
            INDEX('Data input'!$D:$D, MATCH((A73+B73)/2, 'Data input'!$C$39:$C$117, -1)+36)&lt;&gt;"CLAY",
            INDEX('Data input'!$E:$E, MATCH((A73+B73)/2, 'Data input'!$C$39:$C$117, -1)+36)=0
        ),
        0,
        INDEX('Data input'!$E:$E, MATCH((A73+B73)/2, 'Data input'!$C$39:$C$117, -1)+36)
        +
        (
            (INDEX('Data input'!$F:$F, MATCH((A73+B73)/2, 'Data input'!$C$39:$C$117, -1)+36)
            -
            INDEX('Data input'!$E:$E, MATCH((A73+B73)/2, 'Data input'!$C$39:$C$117, -1)+36))
            /
            (INDEX('Data input'!$C:$C, MATCH((A73+B73)/2, 'Data input'!$C$39:$C$117, -1)+36)
            -
            IF(
                MATCH((A73+B73)/2, 'Data input'!$C$39:$C$117, -1)+36=41,
                -1000,
                INDEX('Data input'!$C:$C, MATCH((A73+B73)/2, 'Data input'!$C$39:$C$117, -1)+37)
            ))
        )
        *
        (INDEX('Data input'!$C:$C, MATCH((A73+B73)/2, 'Data input'!$C$39:$C$117, -1)+36) - (A73+B73)/2)
    ),
    ""
))/gammacu</f>
        <v>0</v>
      </c>
      <c r="Q73" s="84" cm="1">
        <f t="array" ref="Q73">(IFERROR(
    IF(
        OR(
            INDEX('Data input'!$D:$D, MATCH(B73+0.00001, 'Data input'!$C$39:$C$117, -1)+36)&lt;&gt;"CLAY",
            INDEX('Data input'!$E:$E, MATCH(B73+0.00001, 'Data input'!$C$39:$C$117, -1)+36)=0
        ),
        0,
        INDEX('Data input'!$E:$E, MATCH(B73+0.00001, 'Data input'!$C$39:$C$117, -1)+36)
        +
        (
            (INDEX('Data input'!$F:$F, MATCH(B73+0.00001, 'Data input'!$C$39:$C$117, -1)+36)
            -
            INDEX('Data input'!$E:$E, MATCH(B73+0.00001, 'Data input'!$C$39:$C$117, -1)+36))
            /
            (INDEX('Data input'!$C:$C, MATCH(B73+0.00001, 'Data input'!$C$39:$C$117, -1)+36)
            -
            IF(
                MATCH(B73+0.00001, 'Data input'!$C$39:$C$117, -1)+36=41,
                -1000,
                INDEX('Data input'!$C:$C, MATCH(B73+0.00001, 'Data input'!$C$39:$C$117, -1)+37)
            ))
        )
        *
        (INDEX('Data input'!$C:$C, MATCH(B73+0.00001, 'Data input'!$C$39:$C$117, -1)+36) - B73)
    ),
    ""
))/gammacu</f>
        <v>0</v>
      </c>
      <c r="R73" s="84">
        <f t="shared" si="5"/>
        <v>1</v>
      </c>
      <c r="S73" s="84">
        <f t="shared" si="6"/>
        <v>9</v>
      </c>
      <c r="T73" s="84">
        <f t="shared" si="7"/>
        <v>8.6428182507316738</v>
      </c>
      <c r="U73" s="84">
        <f t="shared" si="8"/>
        <v>0</v>
      </c>
      <c r="V73" s="84">
        <f t="shared" si="9"/>
        <v>0</v>
      </c>
      <c r="W73" s="84">
        <f t="shared" si="10"/>
        <v>0</v>
      </c>
      <c r="X73" s="84">
        <f t="shared" si="11"/>
        <v>0</v>
      </c>
      <c r="Y73" s="84">
        <f t="shared" si="12"/>
        <v>0</v>
      </c>
      <c r="Z73" s="84">
        <f t="shared" si="13"/>
        <v>0</v>
      </c>
      <c r="AA73" s="84">
        <f t="shared" si="14"/>
        <v>0</v>
      </c>
      <c r="AB73" s="84">
        <f t="shared" si="15"/>
        <v>0</v>
      </c>
      <c r="AC73" s="84">
        <f t="shared" si="16"/>
        <v>0</v>
      </c>
      <c r="AD73" s="84">
        <f t="shared" si="17"/>
        <v>0</v>
      </c>
      <c r="AE73" s="84">
        <f t="shared" si="18"/>
        <v>0</v>
      </c>
      <c r="AF73" s="84">
        <f t="shared" si="19"/>
        <v>0</v>
      </c>
      <c r="AG73" s="84">
        <f t="shared" si="20"/>
        <v>0</v>
      </c>
      <c r="AH73" s="84">
        <f t="shared" si="21"/>
        <v>0</v>
      </c>
    </row>
    <row r="74" spans="1:34" ht="14.1" customHeight="1" x14ac:dyDescent="0.2">
      <c r="A74" s="84">
        <f t="shared" si="27"/>
        <v>3</v>
      </c>
      <c r="B74" s="84">
        <f t="shared" si="22"/>
        <v>2</v>
      </c>
      <c r="C74" s="84">
        <f t="shared" si="0"/>
        <v>217.14688421612647</v>
      </c>
      <c r="D74" s="41" t="str">
        <f>INDEX('Data input'!D:D, MATCH(A74, 'Data input'!C:C, -1))</f>
        <v>CLAY</v>
      </c>
      <c r="E74" s="84">
        <f>INDEX('Data input'!H:H, MATCH(A74, 'Data input'!C:C, -1))/gammagamma</f>
        <v>18</v>
      </c>
      <c r="F74" s="91">
        <f>INDEX('Data input'!G:G, MATCH(A74, 'Data input'!C:C, -1))/gammaPhi</f>
        <v>22</v>
      </c>
      <c r="G74" s="84">
        <f t="shared" si="1"/>
        <v>24.525000000000002</v>
      </c>
      <c r="H74" s="84">
        <f t="shared" si="2"/>
        <v>29.43</v>
      </c>
      <c r="I74" s="84">
        <f t="shared" si="3"/>
        <v>28.62</v>
      </c>
      <c r="J74" s="84">
        <f t="shared" si="4"/>
        <v>37.620000000000005</v>
      </c>
      <c r="K74" s="84">
        <f t="shared" si="23"/>
        <v>4.0949999999999989</v>
      </c>
      <c r="L74" s="84">
        <f t="shared" si="24"/>
        <v>8.1900000000000048</v>
      </c>
      <c r="M74" s="91">
        <f t="shared" si="25"/>
        <v>22</v>
      </c>
      <c r="N74" s="84">
        <f>IF(ISNUMBER(INDEX('Data input'!I:I, MATCH(A74, 'Data input'!C:C, -1))),INDEX('Data input'!I:I, MATCH(A74, 'Data input'!C:C, -1)),1-SIN(RADIANS(F74)))</f>
        <v>0.62539340658408804</v>
      </c>
      <c r="O74" s="84">
        <f t="shared" si="26"/>
        <v>0.25267533772436079</v>
      </c>
      <c r="P74" s="84" cm="1">
        <f t="array" ref="P74">(IFERROR(
    IF(
        OR(
            INDEX('Data input'!$D:$D, MATCH((A74+B74)/2, 'Data input'!$C$39:$C$117, -1)+36)&lt;&gt;"CLAY",
            INDEX('Data input'!$E:$E, MATCH((A74+B74)/2, 'Data input'!$C$39:$C$117, -1)+36)=0
        ),
        0,
        INDEX('Data input'!$E:$E, MATCH((A74+B74)/2, 'Data input'!$C$39:$C$117, -1)+36)
        +
        (
            (INDEX('Data input'!$F:$F, MATCH((A74+B74)/2, 'Data input'!$C$39:$C$117, -1)+36)
            -
            INDEX('Data input'!$E:$E, MATCH((A74+B74)/2, 'Data input'!$C$39:$C$117, -1)+36))
            /
            (INDEX('Data input'!$C:$C, MATCH((A74+B74)/2, 'Data input'!$C$39:$C$117, -1)+36)
            -
            IF(
                MATCH((A74+B74)/2, 'Data input'!$C$39:$C$117, -1)+36=41,
                -1000,
                INDEX('Data input'!$C:$C, MATCH((A74+B74)/2, 'Data input'!$C$39:$C$117, -1)+37)
            ))
        )
        *
        (INDEX('Data input'!$C:$C, MATCH((A74+B74)/2, 'Data input'!$C$39:$C$117, -1)+36) - (A74+B74)/2)
    ),
    ""
))/gammacu</f>
        <v>0</v>
      </c>
      <c r="Q74" s="84" cm="1">
        <f t="array" ref="Q74">(IFERROR(
    IF(
        OR(
            INDEX('Data input'!$D:$D, MATCH(B74+0.00001, 'Data input'!$C$39:$C$117, -1)+36)&lt;&gt;"CLAY",
            INDEX('Data input'!$E:$E, MATCH(B74+0.00001, 'Data input'!$C$39:$C$117, -1)+36)=0
        ),
        0,
        INDEX('Data input'!$E:$E, MATCH(B74+0.00001, 'Data input'!$C$39:$C$117, -1)+36)
        +
        (
            (INDEX('Data input'!$F:$F, MATCH(B74+0.00001, 'Data input'!$C$39:$C$117, -1)+36)
            -
            INDEX('Data input'!$E:$E, MATCH(B74+0.00001, 'Data input'!$C$39:$C$117, -1)+36))
            /
            (INDEX('Data input'!$C:$C, MATCH(B74+0.00001, 'Data input'!$C$39:$C$117, -1)+36)
            -
            IF(
                MATCH(B74+0.00001, 'Data input'!$C$39:$C$117, -1)+36=41,
                -1000,
                INDEX('Data input'!$C:$C, MATCH(B74+0.00001, 'Data input'!$C$39:$C$117, -1)+37)
            ))
        )
        *
        (INDEX('Data input'!$C:$C, MATCH(B74+0.00001, 'Data input'!$C$39:$C$117, -1)+36) - B74)
    ),
    ""
))/gammacu</f>
        <v>0</v>
      </c>
      <c r="R74" s="84">
        <f t="shared" si="5"/>
        <v>1</v>
      </c>
      <c r="S74" s="84">
        <f t="shared" si="6"/>
        <v>9</v>
      </c>
      <c r="T74" s="84">
        <f t="shared" si="7"/>
        <v>8.6428182507316738</v>
      </c>
      <c r="U74" s="84">
        <f t="shared" si="8"/>
        <v>0</v>
      </c>
      <c r="V74" s="84">
        <f t="shared" si="9"/>
        <v>0</v>
      </c>
      <c r="W74" s="84">
        <f t="shared" si="10"/>
        <v>0</v>
      </c>
      <c r="X74" s="84">
        <f t="shared" si="11"/>
        <v>0</v>
      </c>
      <c r="Y74" s="84">
        <f t="shared" si="12"/>
        <v>0</v>
      </c>
      <c r="Z74" s="84">
        <f t="shared" si="13"/>
        <v>0</v>
      </c>
      <c r="AA74" s="84">
        <f t="shared" si="14"/>
        <v>27.143360527015812</v>
      </c>
      <c r="AB74" s="84">
        <f t="shared" si="15"/>
        <v>1.0347055079812573</v>
      </c>
      <c r="AC74" s="84">
        <f t="shared" si="16"/>
        <v>0.69325269034744241</v>
      </c>
      <c r="AD74" s="84">
        <f t="shared" si="17"/>
        <v>70.784681473492455</v>
      </c>
      <c r="AE74" s="84">
        <f t="shared" si="18"/>
        <v>3.9007478670033753</v>
      </c>
      <c r="AF74" s="84">
        <f t="shared" si="19"/>
        <v>80.055588709374277</v>
      </c>
      <c r="AG74" s="84">
        <f t="shared" si="20"/>
        <v>0</v>
      </c>
      <c r="AH74" s="84">
        <f t="shared" si="21"/>
        <v>29.756861597908074</v>
      </c>
    </row>
    <row r="75" spans="1:34" ht="14.1" customHeight="1" x14ac:dyDescent="0.2">
      <c r="A75" s="84">
        <f t="shared" si="27"/>
        <v>2</v>
      </c>
      <c r="B75" s="84">
        <f t="shared" si="22"/>
        <v>1</v>
      </c>
      <c r="C75" s="84">
        <f t="shared" si="0"/>
        <v>244.29024474314227</v>
      </c>
      <c r="D75" s="41" t="str">
        <f>INDEX('Data input'!D:D, MATCH(A75, 'Data input'!C:C, -1))</f>
        <v>CLAY</v>
      </c>
      <c r="E75" s="84">
        <f>INDEX('Data input'!H:H, MATCH(A75, 'Data input'!C:C, -1))/gammagamma</f>
        <v>18</v>
      </c>
      <c r="F75" s="91">
        <f>INDEX('Data input'!G:G, MATCH(A75, 'Data input'!C:C, -1))/gammaPhi</f>
        <v>22</v>
      </c>
      <c r="G75" s="84">
        <f t="shared" si="1"/>
        <v>34.335000000000001</v>
      </c>
      <c r="H75" s="84">
        <f t="shared" si="2"/>
        <v>39.24</v>
      </c>
      <c r="I75" s="84">
        <f t="shared" si="3"/>
        <v>46.620000000000005</v>
      </c>
      <c r="J75" s="84">
        <f t="shared" si="4"/>
        <v>55.620000000000005</v>
      </c>
      <c r="K75" s="84">
        <f t="shared" si="23"/>
        <v>12.285000000000004</v>
      </c>
      <c r="L75" s="84">
        <f t="shared" si="24"/>
        <v>16.380000000000003</v>
      </c>
      <c r="M75" s="91">
        <f t="shared" si="25"/>
        <v>22</v>
      </c>
      <c r="N75" s="84">
        <f>IF(ISNUMBER(INDEX('Data input'!I:I, MATCH(A75, 'Data input'!C:C, -1))),INDEX('Data input'!I:I, MATCH(A75, 'Data input'!C:C, -1)),1-SIN(RADIANS(F75)))</f>
        <v>0.62539340658408804</v>
      </c>
      <c r="O75" s="84">
        <f t="shared" si="26"/>
        <v>0.25267533772436079</v>
      </c>
      <c r="P75" s="84" cm="1">
        <f t="array" ref="P75">(IFERROR(
    IF(
        OR(
            INDEX('Data input'!$D:$D, MATCH((A75+B75)/2, 'Data input'!$C$39:$C$117, -1)+36)&lt;&gt;"CLAY",
            INDEX('Data input'!$E:$E, MATCH((A75+B75)/2, 'Data input'!$C$39:$C$117, -1)+36)=0
        ),
        0,
        INDEX('Data input'!$E:$E, MATCH((A75+B75)/2, 'Data input'!$C$39:$C$117, -1)+36)
        +
        (
            (INDEX('Data input'!$F:$F, MATCH((A75+B75)/2, 'Data input'!$C$39:$C$117, -1)+36)
            -
            INDEX('Data input'!$E:$E, MATCH((A75+B75)/2, 'Data input'!$C$39:$C$117, -1)+36))
            /
            (INDEX('Data input'!$C:$C, MATCH((A75+B75)/2, 'Data input'!$C$39:$C$117, -1)+36)
            -
            IF(
                MATCH((A75+B75)/2, 'Data input'!$C$39:$C$117, -1)+36=41,
                -1000,
                INDEX('Data input'!$C:$C, MATCH((A75+B75)/2, 'Data input'!$C$39:$C$117, -1)+37)
            ))
        )
        *
        (INDEX('Data input'!$C:$C, MATCH((A75+B75)/2, 'Data input'!$C$39:$C$117, -1)+36) - (A75+B75)/2)
    ),
    ""
))/gammacu</f>
        <v>0</v>
      </c>
      <c r="Q75" s="84" cm="1">
        <f t="array" ref="Q75">(IFERROR(
    IF(
        OR(
            INDEX('Data input'!$D:$D, MATCH(B75+0.00001, 'Data input'!$C$39:$C$117, -1)+36)&lt;&gt;"CLAY",
            INDEX('Data input'!$E:$E, MATCH(B75+0.00001, 'Data input'!$C$39:$C$117, -1)+36)=0
        ),
        0,
        INDEX('Data input'!$E:$E, MATCH(B75+0.00001, 'Data input'!$C$39:$C$117, -1)+36)
        +
        (
            (INDEX('Data input'!$F:$F, MATCH(B75+0.00001, 'Data input'!$C$39:$C$117, -1)+36)
            -
            INDEX('Data input'!$E:$E, MATCH(B75+0.00001, 'Data input'!$C$39:$C$117, -1)+36))
            /
            (INDEX('Data input'!$C:$C, MATCH(B75+0.00001, 'Data input'!$C$39:$C$117, -1)+36)
            -
            IF(
                MATCH(B75+0.00001, 'Data input'!$C$39:$C$117, -1)+36=41,
                -1000,
                INDEX('Data input'!$C:$C, MATCH(B75+0.00001, 'Data input'!$C$39:$C$117, -1)+37)
            ))
        )
        *
        (INDEX('Data input'!$C:$C, MATCH(B75+0.00001, 'Data input'!$C$39:$C$117, -1)+36) - B75)
    ),
    ""
))/gammacu</f>
        <v>0</v>
      </c>
      <c r="R75" s="84">
        <f t="shared" si="5"/>
        <v>1</v>
      </c>
      <c r="S75" s="84">
        <f t="shared" si="6"/>
        <v>9</v>
      </c>
      <c r="T75" s="84">
        <f t="shared" si="7"/>
        <v>8.6428182507316738</v>
      </c>
      <c r="U75" s="84">
        <f t="shared" si="8"/>
        <v>0</v>
      </c>
      <c r="V75" s="84">
        <f t="shared" si="9"/>
        <v>0</v>
      </c>
      <c r="W75" s="84">
        <f t="shared" si="10"/>
        <v>0</v>
      </c>
      <c r="X75" s="84">
        <f t="shared" si="11"/>
        <v>0</v>
      </c>
      <c r="Y75" s="84">
        <f t="shared" si="12"/>
        <v>0</v>
      </c>
      <c r="Z75" s="84">
        <f t="shared" si="13"/>
        <v>0</v>
      </c>
      <c r="AA75" s="84">
        <f t="shared" si="14"/>
        <v>54.286721054031624</v>
      </c>
      <c r="AB75" s="84">
        <f t="shared" si="15"/>
        <v>3.1041165239437731</v>
      </c>
      <c r="AC75" s="84">
        <f t="shared" si="16"/>
        <v>2.079758071042328</v>
      </c>
      <c r="AD75" s="84">
        <f t="shared" si="17"/>
        <v>141.56936294698482</v>
      </c>
      <c r="AE75" s="84">
        <f t="shared" si="18"/>
        <v>15.602991468013506</v>
      </c>
      <c r="AF75" s="84">
        <f t="shared" si="19"/>
        <v>160.11117741874844</v>
      </c>
      <c r="AG75" s="84">
        <f t="shared" si="20"/>
        <v>0</v>
      </c>
      <c r="AH75" s="84">
        <f t="shared" si="21"/>
        <v>64.740725337600679</v>
      </c>
    </row>
    <row r="76" spans="1:34" ht="14.1" customHeight="1" x14ac:dyDescent="0.2">
      <c r="A76" s="84">
        <f t="shared" si="27"/>
        <v>1</v>
      </c>
      <c r="B76" s="84">
        <f t="shared" si="22"/>
        <v>0</v>
      </c>
      <c r="C76" s="84">
        <f t="shared" si="0"/>
        <v>271.43360527015807</v>
      </c>
      <c r="D76" s="41" t="str">
        <f>INDEX('Data input'!D:D, MATCH(A76, 'Data input'!C:C, -1))</f>
        <v>CLAY</v>
      </c>
      <c r="E76" s="84">
        <f>INDEX('Data input'!H:H, MATCH(A76, 'Data input'!C:C, -1))/gammagamma</f>
        <v>18</v>
      </c>
      <c r="F76" s="91">
        <f>INDEX('Data input'!G:G, MATCH(A76, 'Data input'!C:C, -1))/gammaPhi</f>
        <v>22</v>
      </c>
      <c r="G76" s="84">
        <f t="shared" si="1"/>
        <v>44.145000000000003</v>
      </c>
      <c r="H76" s="84">
        <f t="shared" si="2"/>
        <v>49.050000000000004</v>
      </c>
      <c r="I76" s="84">
        <f t="shared" si="3"/>
        <v>64.62</v>
      </c>
      <c r="J76" s="84">
        <f t="shared" si="4"/>
        <v>73.62</v>
      </c>
      <c r="K76" s="84">
        <f t="shared" si="23"/>
        <v>20.475000000000001</v>
      </c>
      <c r="L76" s="84">
        <f t="shared" si="24"/>
        <v>24.57</v>
      </c>
      <c r="M76" s="91">
        <f t="shared" si="25"/>
        <v>22</v>
      </c>
      <c r="N76" s="84">
        <f>IF(ISNUMBER(INDEX('Data input'!I:I, MATCH(A76, 'Data input'!C:C, -1))),INDEX('Data input'!I:I, MATCH(A76, 'Data input'!C:C, -1)),1-SIN(RADIANS(F76)))</f>
        <v>0.62539340658408804</v>
      </c>
      <c r="O76" s="84">
        <f t="shared" si="26"/>
        <v>0.25267533772436079</v>
      </c>
      <c r="P76" s="84" cm="1">
        <f t="array" ref="P76">(IFERROR(
    IF(
        OR(
            INDEX('Data input'!$D:$D, MATCH((A76+B76)/2, 'Data input'!$C$39:$C$117, -1)+36)&lt;&gt;"CLAY",
            INDEX('Data input'!$E:$E, MATCH((A76+B76)/2, 'Data input'!$C$39:$C$117, -1)+36)=0
        ),
        0,
        INDEX('Data input'!$E:$E, MATCH((A76+B76)/2, 'Data input'!$C$39:$C$117, -1)+36)
        +
        (
            (INDEX('Data input'!$F:$F, MATCH((A76+B76)/2, 'Data input'!$C$39:$C$117, -1)+36)
            -
            INDEX('Data input'!$E:$E, MATCH((A76+B76)/2, 'Data input'!$C$39:$C$117, -1)+36))
            /
            (INDEX('Data input'!$C:$C, MATCH((A76+B76)/2, 'Data input'!$C$39:$C$117, -1)+36)
            -
            IF(
                MATCH((A76+B76)/2, 'Data input'!$C$39:$C$117, -1)+36=41,
                -1000,
                INDEX('Data input'!$C:$C, MATCH((A76+B76)/2, 'Data input'!$C$39:$C$117, -1)+37)
            ))
        )
        *
        (INDEX('Data input'!$C:$C, MATCH((A76+B76)/2, 'Data input'!$C$39:$C$117, -1)+36) - (A76+B76)/2)
    ),
    ""
))/gammacu</f>
        <v>0</v>
      </c>
      <c r="Q76" s="84" cm="1">
        <f t="array" ref="Q76">(IFERROR(
    IF(
        OR(
            INDEX('Data input'!$D:$D, MATCH(B76+0.00001, 'Data input'!$C$39:$C$117, -1)+36)&lt;&gt;"CLAY",
            INDEX('Data input'!$E:$E, MATCH(B76+0.00001, 'Data input'!$C$39:$C$117, -1)+36)=0
        ),
        0,
        INDEX('Data input'!$E:$E, MATCH(B76+0.00001, 'Data input'!$C$39:$C$117, -1)+36)
        +
        (
            (INDEX('Data input'!$F:$F, MATCH(B76+0.00001, 'Data input'!$C$39:$C$117, -1)+36)
            -
            INDEX('Data input'!$E:$E, MATCH(B76+0.00001, 'Data input'!$C$39:$C$117, -1)+36))
            /
            (INDEX('Data input'!$C:$C, MATCH(B76+0.00001, 'Data input'!$C$39:$C$117, -1)+36)
            -
            IF(
                MATCH(B76+0.00001, 'Data input'!$C$39:$C$117, -1)+36=41,
                -1000,
                INDEX('Data input'!$C:$C, MATCH(B76+0.00001, 'Data input'!$C$39:$C$117, -1)+37)
            ))
        )
        *
        (INDEX('Data input'!$C:$C, MATCH(B76+0.00001, 'Data input'!$C$39:$C$117, -1)+36) - B76)
    ),
    ""
))/gammacu</f>
        <v>0</v>
      </c>
      <c r="R76" s="84">
        <f t="shared" si="5"/>
        <v>1</v>
      </c>
      <c r="S76" s="84">
        <f t="shared" si="6"/>
        <v>9</v>
      </c>
      <c r="T76" s="84">
        <f t="shared" si="7"/>
        <v>8.6428182507316738</v>
      </c>
      <c r="U76" s="84">
        <f t="shared" si="8"/>
        <v>0</v>
      </c>
      <c r="V76" s="84">
        <f t="shared" si="9"/>
        <v>0</v>
      </c>
      <c r="W76" s="84">
        <f t="shared" si="10"/>
        <v>0</v>
      </c>
      <c r="X76" s="84">
        <f t="shared" si="11"/>
        <v>0</v>
      </c>
      <c r="Y76" s="84">
        <f t="shared" si="12"/>
        <v>0</v>
      </c>
      <c r="Z76" s="84">
        <f t="shared" si="13"/>
        <v>0</v>
      </c>
      <c r="AA76" s="84">
        <f t="shared" si="14"/>
        <v>81.430081581047432</v>
      </c>
      <c r="AB76" s="84">
        <f t="shared" si="15"/>
        <v>5.1735275399062877</v>
      </c>
      <c r="AC76" s="84">
        <f t="shared" si="16"/>
        <v>3.4662634517372131</v>
      </c>
      <c r="AD76" s="84">
        <f t="shared" si="17"/>
        <v>212.35404442047724</v>
      </c>
      <c r="AE76" s="84">
        <f t="shared" si="18"/>
        <v>35.106730803030388</v>
      </c>
      <c r="AF76" s="84">
        <f t="shared" si="19"/>
        <v>240.16676612812265</v>
      </c>
      <c r="AG76" s="84">
        <f t="shared" si="20"/>
        <v>3.8398916609949652</v>
      </c>
      <c r="AH76" s="84">
        <f t="shared" si="21"/>
        <v>104.95159121907781</v>
      </c>
    </row>
    <row r="77" spans="1:34" ht="14.1" customHeight="1" x14ac:dyDescent="0.2">
      <c r="A77" s="84">
        <f t="shared" si="27"/>
        <v>0</v>
      </c>
      <c r="B77" s="84">
        <f t="shared" si="22"/>
        <v>-1</v>
      </c>
      <c r="C77" s="84">
        <f t="shared" si="0"/>
        <v>298.5769657971739</v>
      </c>
      <c r="D77" s="41" t="str">
        <f>INDEX('Data input'!D:D, MATCH(A77, 'Data input'!C:C, -1))</f>
        <v>CLAY</v>
      </c>
      <c r="E77" s="84">
        <f>INDEX('Data input'!H:H, MATCH(A77, 'Data input'!C:C, -1))/gammagamma</f>
        <v>18</v>
      </c>
      <c r="F77" s="91">
        <f>INDEX('Data input'!G:G, MATCH(A77, 'Data input'!C:C, -1))/gammaPhi</f>
        <v>22</v>
      </c>
      <c r="G77" s="84">
        <f t="shared" si="1"/>
        <v>53.955000000000005</v>
      </c>
      <c r="H77" s="84">
        <f t="shared" si="2"/>
        <v>58.86</v>
      </c>
      <c r="I77" s="84">
        <f t="shared" si="3"/>
        <v>82.62</v>
      </c>
      <c r="J77" s="84">
        <f t="shared" si="4"/>
        <v>91.62</v>
      </c>
      <c r="K77" s="84">
        <f t="shared" si="23"/>
        <v>28.664999999999999</v>
      </c>
      <c r="L77" s="84">
        <f t="shared" si="24"/>
        <v>32.760000000000005</v>
      </c>
      <c r="M77" s="91">
        <f t="shared" si="25"/>
        <v>22</v>
      </c>
      <c r="N77" s="84">
        <f>IF(ISNUMBER(INDEX('Data input'!I:I, MATCH(A77, 'Data input'!C:C, -1))),INDEX('Data input'!I:I, MATCH(A77, 'Data input'!C:C, -1)),1-SIN(RADIANS(F77)))</f>
        <v>0.62539340658408804</v>
      </c>
      <c r="O77" s="84">
        <f t="shared" si="26"/>
        <v>0.25267533772436079</v>
      </c>
      <c r="P77" s="84" cm="1">
        <f t="array" ref="P77">(IFERROR(
    IF(
        OR(
            INDEX('Data input'!$D:$D, MATCH((A77+B77)/2, 'Data input'!$C$39:$C$117, -1)+36)&lt;&gt;"CLAY",
            INDEX('Data input'!$E:$E, MATCH((A77+B77)/2, 'Data input'!$C$39:$C$117, -1)+36)=0
        ),
        0,
        INDEX('Data input'!$E:$E, MATCH((A77+B77)/2, 'Data input'!$C$39:$C$117, -1)+36)
        +
        (
            (INDEX('Data input'!$F:$F, MATCH((A77+B77)/2, 'Data input'!$C$39:$C$117, -1)+36)
            -
            INDEX('Data input'!$E:$E, MATCH((A77+B77)/2, 'Data input'!$C$39:$C$117, -1)+36))
            /
            (INDEX('Data input'!$C:$C, MATCH((A77+B77)/2, 'Data input'!$C$39:$C$117, -1)+36)
            -
            IF(
                MATCH((A77+B77)/2, 'Data input'!$C$39:$C$117, -1)+36=41,
                -1000,
                INDEX('Data input'!$C:$C, MATCH((A77+B77)/2, 'Data input'!$C$39:$C$117, -1)+37)
            ))
        )
        *
        (INDEX('Data input'!$C:$C, MATCH((A77+B77)/2, 'Data input'!$C$39:$C$117, -1)+36) - (A77+B77)/2)
    ),
    ""
))/gammacu</f>
        <v>0</v>
      </c>
      <c r="Q77" s="84" cm="1">
        <f t="array" ref="Q77">(IFERROR(
    IF(
        OR(
            INDEX('Data input'!$D:$D, MATCH(B77+0.00001, 'Data input'!$C$39:$C$117, -1)+36)&lt;&gt;"CLAY",
            INDEX('Data input'!$E:$E, MATCH(B77+0.00001, 'Data input'!$C$39:$C$117, -1)+36)=0
        ),
        0,
        INDEX('Data input'!$E:$E, MATCH(B77+0.00001, 'Data input'!$C$39:$C$117, -1)+36)
        +
        (
            (INDEX('Data input'!$F:$F, MATCH(B77+0.00001, 'Data input'!$C$39:$C$117, -1)+36)
            -
            INDEX('Data input'!$E:$E, MATCH(B77+0.00001, 'Data input'!$C$39:$C$117, -1)+36))
            /
            (INDEX('Data input'!$C:$C, MATCH(B77+0.00001, 'Data input'!$C$39:$C$117, -1)+36)
            -
            IF(
                MATCH(B77+0.00001, 'Data input'!$C$39:$C$117, -1)+36=41,
                -1000,
                INDEX('Data input'!$C:$C, MATCH(B77+0.00001, 'Data input'!$C$39:$C$117, -1)+37)
            ))
        )
        *
        (INDEX('Data input'!$C:$C, MATCH(B77+0.00001, 'Data input'!$C$39:$C$117, -1)+36) - B77)
    ),
    ""
))/gammacu</f>
        <v>0</v>
      </c>
      <c r="R77" s="84">
        <f t="shared" si="5"/>
        <v>1</v>
      </c>
      <c r="S77" s="84">
        <f t="shared" si="6"/>
        <v>9</v>
      </c>
      <c r="T77" s="84">
        <f t="shared" si="7"/>
        <v>8.6428182507316738</v>
      </c>
      <c r="U77" s="84">
        <f t="shared" si="8"/>
        <v>0</v>
      </c>
      <c r="V77" s="84">
        <f t="shared" si="9"/>
        <v>0</v>
      </c>
      <c r="W77" s="84">
        <f t="shared" si="10"/>
        <v>0</v>
      </c>
      <c r="X77" s="84">
        <f t="shared" si="11"/>
        <v>0</v>
      </c>
      <c r="Y77" s="84">
        <f t="shared" si="12"/>
        <v>0</v>
      </c>
      <c r="Z77" s="84">
        <f t="shared" si="13"/>
        <v>0</v>
      </c>
      <c r="AA77" s="84">
        <f t="shared" si="14"/>
        <v>108.57344210806325</v>
      </c>
      <c r="AB77" s="84">
        <f t="shared" si="15"/>
        <v>7.2429385558688022</v>
      </c>
      <c r="AC77" s="84">
        <f t="shared" si="16"/>
        <v>4.8527688324320977</v>
      </c>
      <c r="AD77" s="84">
        <f t="shared" si="17"/>
        <v>283.13872589396965</v>
      </c>
      <c r="AE77" s="84">
        <f t="shared" si="18"/>
        <v>62.411965872054026</v>
      </c>
      <c r="AF77" s="84">
        <f t="shared" si="19"/>
        <v>320.22235483749688</v>
      </c>
      <c r="AG77" s="84">
        <f t="shared" si="20"/>
        <v>84.057354912377036</v>
      </c>
      <c r="AH77" s="84">
        <f t="shared" si="21"/>
        <v>150.38945924233946</v>
      </c>
    </row>
    <row r="78" spans="1:34" ht="14.1" customHeight="1" x14ac:dyDescent="0.2">
      <c r="A78" s="84">
        <f t="shared" si="27"/>
        <v>-1</v>
      </c>
      <c r="B78" s="84">
        <f t="shared" si="22"/>
        <v>-2</v>
      </c>
      <c r="C78" s="84">
        <f t="shared" si="0"/>
        <v>325.72032632418973</v>
      </c>
      <c r="D78" s="41" t="str">
        <f>INDEX('Data input'!D:D, MATCH(A78, 'Data input'!C:C, -1))</f>
        <v>CLAY</v>
      </c>
      <c r="E78" s="84">
        <f>INDEX('Data input'!H:H, MATCH(A78, 'Data input'!C:C, -1))/gammagamma</f>
        <v>18</v>
      </c>
      <c r="F78" s="91">
        <f>INDEX('Data input'!G:G, MATCH(A78, 'Data input'!C:C, -1))/gammaPhi</f>
        <v>22</v>
      </c>
      <c r="G78" s="84">
        <f t="shared" si="1"/>
        <v>63.765000000000001</v>
      </c>
      <c r="H78" s="84">
        <f t="shared" si="2"/>
        <v>68.67</v>
      </c>
      <c r="I78" s="84">
        <f t="shared" si="3"/>
        <v>100.62</v>
      </c>
      <c r="J78" s="84">
        <f t="shared" si="4"/>
        <v>109.62</v>
      </c>
      <c r="K78" s="84">
        <f t="shared" si="23"/>
        <v>36.855000000000004</v>
      </c>
      <c r="L78" s="84">
        <f t="shared" si="24"/>
        <v>40.950000000000003</v>
      </c>
      <c r="M78" s="91">
        <f t="shared" si="25"/>
        <v>22</v>
      </c>
      <c r="N78" s="84">
        <f>IF(ISNUMBER(INDEX('Data input'!I:I, MATCH(A78, 'Data input'!C:C, -1))),INDEX('Data input'!I:I, MATCH(A78, 'Data input'!C:C, -1)),1-SIN(RADIANS(F78)))</f>
        <v>0.62539340658408804</v>
      </c>
      <c r="O78" s="84">
        <f t="shared" si="26"/>
        <v>0.25267533772436079</v>
      </c>
      <c r="P78" s="84" cm="1">
        <f t="array" ref="P78">(IFERROR(
    IF(
        OR(
            INDEX('Data input'!$D:$D, MATCH((A78+B78)/2, 'Data input'!$C$39:$C$117, -1)+36)&lt;&gt;"CLAY",
            INDEX('Data input'!$E:$E, MATCH((A78+B78)/2, 'Data input'!$C$39:$C$117, -1)+36)=0
        ),
        0,
        INDEX('Data input'!$E:$E, MATCH((A78+B78)/2, 'Data input'!$C$39:$C$117, -1)+36)
        +
        (
            (INDEX('Data input'!$F:$F, MATCH((A78+B78)/2, 'Data input'!$C$39:$C$117, -1)+36)
            -
            INDEX('Data input'!$E:$E, MATCH((A78+B78)/2, 'Data input'!$C$39:$C$117, -1)+36))
            /
            (INDEX('Data input'!$C:$C, MATCH((A78+B78)/2, 'Data input'!$C$39:$C$117, -1)+36)
            -
            IF(
                MATCH((A78+B78)/2, 'Data input'!$C$39:$C$117, -1)+36=41,
                -1000,
                INDEX('Data input'!$C:$C, MATCH((A78+B78)/2, 'Data input'!$C$39:$C$117, -1)+37)
            ))
        )
        *
        (INDEX('Data input'!$C:$C, MATCH((A78+B78)/2, 'Data input'!$C$39:$C$117, -1)+36) - (A78+B78)/2)
    ),
    ""
))/gammacu</f>
        <v>0</v>
      </c>
      <c r="Q78" s="84" cm="1">
        <f t="array" ref="Q78">(IFERROR(
    IF(
        OR(
            INDEX('Data input'!$D:$D, MATCH(B78+0.00001, 'Data input'!$C$39:$C$117, -1)+36)&lt;&gt;"CLAY",
            INDEX('Data input'!$E:$E, MATCH(B78+0.00001, 'Data input'!$C$39:$C$117, -1)+36)=0
        ),
        0,
        INDEX('Data input'!$E:$E, MATCH(B78+0.00001, 'Data input'!$C$39:$C$117, -1)+36)
        +
        (
            (INDEX('Data input'!$F:$F, MATCH(B78+0.00001, 'Data input'!$C$39:$C$117, -1)+36)
            -
            INDEX('Data input'!$E:$E, MATCH(B78+0.00001, 'Data input'!$C$39:$C$117, -1)+36))
            /
            (INDEX('Data input'!$C:$C, MATCH(B78+0.00001, 'Data input'!$C$39:$C$117, -1)+36)
            -
            IF(
                MATCH(B78+0.00001, 'Data input'!$C$39:$C$117, -1)+36=41,
                -1000,
                INDEX('Data input'!$C:$C, MATCH(B78+0.00001, 'Data input'!$C$39:$C$117, -1)+37)
            ))
        )
        *
        (INDEX('Data input'!$C:$C, MATCH(B78+0.00001, 'Data input'!$C$39:$C$117, -1)+36) - B78)
    ),
    ""
))/gammacu</f>
        <v>0</v>
      </c>
      <c r="R78" s="84">
        <f t="shared" si="5"/>
        <v>1</v>
      </c>
      <c r="S78" s="84">
        <f t="shared" si="6"/>
        <v>9</v>
      </c>
      <c r="T78" s="84">
        <f t="shared" si="7"/>
        <v>8.6428182507316738</v>
      </c>
      <c r="U78" s="84">
        <f t="shared" si="8"/>
        <v>0</v>
      </c>
      <c r="V78" s="84">
        <f t="shared" si="9"/>
        <v>0</v>
      </c>
      <c r="W78" s="84">
        <f t="shared" si="10"/>
        <v>0</v>
      </c>
      <c r="X78" s="84">
        <f t="shared" si="11"/>
        <v>0</v>
      </c>
      <c r="Y78" s="84">
        <f t="shared" si="12"/>
        <v>0</v>
      </c>
      <c r="Z78" s="84">
        <f t="shared" si="13"/>
        <v>0</v>
      </c>
      <c r="AA78" s="84">
        <f t="shared" si="14"/>
        <v>135.71680263507906</v>
      </c>
      <c r="AB78" s="84">
        <f t="shared" si="15"/>
        <v>9.3123495718313176</v>
      </c>
      <c r="AC78" s="84">
        <f t="shared" si="16"/>
        <v>6.2392742131269836</v>
      </c>
      <c r="AD78" s="84">
        <f t="shared" si="17"/>
        <v>353.92340736746206</v>
      </c>
      <c r="AE78" s="84">
        <f t="shared" si="18"/>
        <v>97.518696675084414</v>
      </c>
      <c r="AF78" s="84">
        <f t="shared" si="19"/>
        <v>400.27794354687109</v>
      </c>
      <c r="AG78" s="84">
        <f t="shared" si="20"/>
        <v>172.07631389776577</v>
      </c>
      <c r="AH78" s="84">
        <f t="shared" si="21"/>
        <v>201.05432940738561</v>
      </c>
    </row>
    <row r="79" spans="1:34" ht="14.1" customHeight="1" x14ac:dyDescent="0.2">
      <c r="A79" s="84">
        <f t="shared" si="27"/>
        <v>-2</v>
      </c>
      <c r="B79" s="84">
        <f t="shared" si="22"/>
        <v>-3</v>
      </c>
      <c r="C79" s="84">
        <f t="shared" si="0"/>
        <v>352.86368685120556</v>
      </c>
      <c r="D79" s="41" t="str">
        <f>INDEX('Data input'!D:D, MATCH(A79, 'Data input'!C:C, -1))</f>
        <v>CLAY</v>
      </c>
      <c r="E79" s="84">
        <f>INDEX('Data input'!H:H, MATCH(A79, 'Data input'!C:C, -1))/gammagamma</f>
        <v>18</v>
      </c>
      <c r="F79" s="91">
        <f>INDEX('Data input'!G:G, MATCH(A79, 'Data input'!C:C, -1))/gammaPhi</f>
        <v>22</v>
      </c>
      <c r="G79" s="84">
        <f t="shared" si="1"/>
        <v>73.575000000000003</v>
      </c>
      <c r="H79" s="84">
        <f t="shared" si="2"/>
        <v>78.48</v>
      </c>
      <c r="I79" s="84">
        <f t="shared" si="3"/>
        <v>118.62</v>
      </c>
      <c r="J79" s="84">
        <f t="shared" si="4"/>
        <v>127.62</v>
      </c>
      <c r="K79" s="84">
        <f t="shared" si="23"/>
        <v>45.045000000000002</v>
      </c>
      <c r="L79" s="84">
        <f t="shared" si="24"/>
        <v>49.14</v>
      </c>
      <c r="M79" s="91">
        <f t="shared" si="25"/>
        <v>22</v>
      </c>
      <c r="N79" s="84">
        <f>IF(ISNUMBER(INDEX('Data input'!I:I, MATCH(A79, 'Data input'!C:C, -1))),INDEX('Data input'!I:I, MATCH(A79, 'Data input'!C:C, -1)),1-SIN(RADIANS(F79)))</f>
        <v>0.62539340658408804</v>
      </c>
      <c r="O79" s="84">
        <f t="shared" si="26"/>
        <v>0.25267533772436079</v>
      </c>
      <c r="P79" s="84" cm="1">
        <f t="array" ref="P79">(IFERROR(
    IF(
        OR(
            INDEX('Data input'!$D:$D, MATCH((A79+B79)/2, 'Data input'!$C$39:$C$117, -1)+36)&lt;&gt;"CLAY",
            INDEX('Data input'!$E:$E, MATCH((A79+B79)/2, 'Data input'!$C$39:$C$117, -1)+36)=0
        ),
        0,
        INDEX('Data input'!$E:$E, MATCH((A79+B79)/2, 'Data input'!$C$39:$C$117, -1)+36)
        +
        (
            (INDEX('Data input'!$F:$F, MATCH((A79+B79)/2, 'Data input'!$C$39:$C$117, -1)+36)
            -
            INDEX('Data input'!$E:$E, MATCH((A79+B79)/2, 'Data input'!$C$39:$C$117, -1)+36))
            /
            (INDEX('Data input'!$C:$C, MATCH((A79+B79)/2, 'Data input'!$C$39:$C$117, -1)+36)
            -
            IF(
                MATCH((A79+B79)/2, 'Data input'!$C$39:$C$117, -1)+36=41,
                -1000,
                INDEX('Data input'!$C:$C, MATCH((A79+B79)/2, 'Data input'!$C$39:$C$117, -1)+37)
            ))
        )
        *
        (INDEX('Data input'!$C:$C, MATCH((A79+B79)/2, 'Data input'!$C$39:$C$117, -1)+36) - (A79+B79)/2)
    ),
    ""
))/gammacu</f>
        <v>0</v>
      </c>
      <c r="Q79" s="84" cm="1">
        <f t="array" ref="Q79">(IFERROR(
    IF(
        OR(
            INDEX('Data input'!$D:$D, MATCH(B79+0.00001, 'Data input'!$C$39:$C$117, -1)+36)&lt;&gt;"CLAY",
            INDEX('Data input'!$E:$E, MATCH(B79+0.00001, 'Data input'!$C$39:$C$117, -1)+36)=0
        ),
        0,
        INDEX('Data input'!$E:$E, MATCH(B79+0.00001, 'Data input'!$C$39:$C$117, -1)+36)
        +
        (
            (INDEX('Data input'!$F:$F, MATCH(B79+0.00001, 'Data input'!$C$39:$C$117, -1)+36)
            -
            INDEX('Data input'!$E:$E, MATCH(B79+0.00001, 'Data input'!$C$39:$C$117, -1)+36))
            /
            (INDEX('Data input'!$C:$C, MATCH(B79+0.00001, 'Data input'!$C$39:$C$117, -1)+36)
            -
            IF(
                MATCH(B79+0.00001, 'Data input'!$C$39:$C$117, -1)+36=41,
                -1000,
                INDEX('Data input'!$C:$C, MATCH(B79+0.00001, 'Data input'!$C$39:$C$117, -1)+37)
            ))
        )
        *
        (INDEX('Data input'!$C:$C, MATCH(B79+0.00001, 'Data input'!$C$39:$C$117, -1)+36) - B79)
    ),
    ""
))/gammacu</f>
        <v>0</v>
      </c>
      <c r="R79" s="84">
        <f t="shared" si="5"/>
        <v>1</v>
      </c>
      <c r="S79" s="84">
        <f t="shared" si="6"/>
        <v>9</v>
      </c>
      <c r="T79" s="84">
        <f t="shared" si="7"/>
        <v>8.6428182507316738</v>
      </c>
      <c r="U79" s="84">
        <f t="shared" si="8"/>
        <v>0</v>
      </c>
      <c r="V79" s="84">
        <f t="shared" si="9"/>
        <v>0</v>
      </c>
      <c r="W79" s="84">
        <f t="shared" si="10"/>
        <v>0</v>
      </c>
      <c r="X79" s="84">
        <f t="shared" si="11"/>
        <v>0</v>
      </c>
      <c r="Y79" s="84">
        <f t="shared" si="12"/>
        <v>0</v>
      </c>
      <c r="Z79" s="84">
        <f t="shared" si="13"/>
        <v>0</v>
      </c>
      <c r="AA79" s="84">
        <f t="shared" si="14"/>
        <v>162.86016316209486</v>
      </c>
      <c r="AB79" s="84">
        <f t="shared" si="15"/>
        <v>11.381760587793833</v>
      </c>
      <c r="AC79" s="84">
        <f t="shared" si="16"/>
        <v>7.6257795938218687</v>
      </c>
      <c r="AD79" s="84">
        <f t="shared" si="17"/>
        <v>424.70808884095447</v>
      </c>
      <c r="AE79" s="84">
        <f t="shared" si="18"/>
        <v>140.42692321212155</v>
      </c>
      <c r="AF79" s="84">
        <f t="shared" si="19"/>
        <v>480.33353225624529</v>
      </c>
      <c r="AG79" s="84">
        <f t="shared" si="20"/>
        <v>267.89676861716134</v>
      </c>
      <c r="AH79" s="84">
        <f t="shared" si="21"/>
        <v>256.94620171421633</v>
      </c>
    </row>
    <row r="80" spans="1:34" ht="14.1" customHeight="1" x14ac:dyDescent="0.2">
      <c r="A80" s="84">
        <f t="shared" si="27"/>
        <v>-3</v>
      </c>
      <c r="B80" s="84">
        <f t="shared" si="22"/>
        <v>-4</v>
      </c>
      <c r="C80" s="84">
        <f t="shared" si="0"/>
        <v>380.00704737822139</v>
      </c>
      <c r="D80" s="41" t="str">
        <f>INDEX('Data input'!D:D, MATCH(A80, 'Data input'!C:C, -1))</f>
        <v>CLAY</v>
      </c>
      <c r="E80" s="84">
        <f>INDEX('Data input'!H:H, MATCH(A80, 'Data input'!C:C, -1))/gammagamma</f>
        <v>18</v>
      </c>
      <c r="F80" s="91">
        <f>INDEX('Data input'!G:G, MATCH(A80, 'Data input'!C:C, -1))/gammaPhi</f>
        <v>22</v>
      </c>
      <c r="G80" s="84">
        <f t="shared" si="1"/>
        <v>83.385000000000005</v>
      </c>
      <c r="H80" s="84">
        <f t="shared" si="2"/>
        <v>88.29</v>
      </c>
      <c r="I80" s="84">
        <f t="shared" si="3"/>
        <v>136.62</v>
      </c>
      <c r="J80" s="84">
        <f t="shared" si="4"/>
        <v>145.62</v>
      </c>
      <c r="K80" s="84">
        <f t="shared" si="23"/>
        <v>53.234999999999999</v>
      </c>
      <c r="L80" s="84">
        <f t="shared" si="24"/>
        <v>57.33</v>
      </c>
      <c r="M80" s="91">
        <f t="shared" si="25"/>
        <v>22</v>
      </c>
      <c r="N80" s="84">
        <f>IF(ISNUMBER(INDEX('Data input'!I:I, MATCH(A80, 'Data input'!C:C, -1))),INDEX('Data input'!I:I, MATCH(A80, 'Data input'!C:C, -1)),1-SIN(RADIANS(F80)))</f>
        <v>0.62539340658408804</v>
      </c>
      <c r="O80" s="84">
        <f t="shared" si="26"/>
        <v>0.25267533772436079</v>
      </c>
      <c r="P80" s="84" cm="1">
        <f t="array" ref="P80">(IFERROR(
    IF(
        OR(
            INDEX('Data input'!$D:$D, MATCH((A80+B80)/2, 'Data input'!$C$39:$C$117, -1)+36)&lt;&gt;"CLAY",
            INDEX('Data input'!$E:$E, MATCH((A80+B80)/2, 'Data input'!$C$39:$C$117, -1)+36)=0
        ),
        0,
        INDEX('Data input'!$E:$E, MATCH((A80+B80)/2, 'Data input'!$C$39:$C$117, -1)+36)
        +
        (
            (INDEX('Data input'!$F:$F, MATCH((A80+B80)/2, 'Data input'!$C$39:$C$117, -1)+36)
            -
            INDEX('Data input'!$E:$E, MATCH((A80+B80)/2, 'Data input'!$C$39:$C$117, -1)+36))
            /
            (INDEX('Data input'!$C:$C, MATCH((A80+B80)/2, 'Data input'!$C$39:$C$117, -1)+36)
            -
            IF(
                MATCH((A80+B80)/2, 'Data input'!$C$39:$C$117, -1)+36=41,
                -1000,
                INDEX('Data input'!$C:$C, MATCH((A80+B80)/2, 'Data input'!$C$39:$C$117, -1)+37)
            ))
        )
        *
        (INDEX('Data input'!$C:$C, MATCH((A80+B80)/2, 'Data input'!$C$39:$C$117, -1)+36) - (A80+B80)/2)
    ),
    ""
))/gammacu</f>
        <v>0</v>
      </c>
      <c r="Q80" s="84" cm="1">
        <f t="array" ref="Q80">(IFERROR(
    IF(
        OR(
            INDEX('Data input'!$D:$D, MATCH(B80+0.00001, 'Data input'!$C$39:$C$117, -1)+36)&lt;&gt;"CLAY",
            INDEX('Data input'!$E:$E, MATCH(B80+0.00001, 'Data input'!$C$39:$C$117, -1)+36)=0
        ),
        0,
        INDEX('Data input'!$E:$E, MATCH(B80+0.00001, 'Data input'!$C$39:$C$117, -1)+36)
        +
        (
            (INDEX('Data input'!$F:$F, MATCH(B80+0.00001, 'Data input'!$C$39:$C$117, -1)+36)
            -
            INDEX('Data input'!$E:$E, MATCH(B80+0.00001, 'Data input'!$C$39:$C$117, -1)+36))
            /
            (INDEX('Data input'!$C:$C, MATCH(B80+0.00001, 'Data input'!$C$39:$C$117, -1)+36)
            -
            IF(
                MATCH(B80+0.00001, 'Data input'!$C$39:$C$117, -1)+36=41,
                -1000,
                INDEX('Data input'!$C:$C, MATCH(B80+0.00001, 'Data input'!$C$39:$C$117, -1)+37)
            ))
        )
        *
        (INDEX('Data input'!$C:$C, MATCH(B80+0.00001, 'Data input'!$C$39:$C$117, -1)+36) - B80)
    ),
    ""
))/gammacu</f>
        <v>0</v>
      </c>
      <c r="R80" s="84">
        <f t="shared" si="5"/>
        <v>1</v>
      </c>
      <c r="S80" s="84">
        <f t="shared" si="6"/>
        <v>9</v>
      </c>
      <c r="T80" s="84">
        <f t="shared" si="7"/>
        <v>8.6428182507316738</v>
      </c>
      <c r="U80" s="84">
        <f t="shared" si="8"/>
        <v>0</v>
      </c>
      <c r="V80" s="84">
        <f t="shared" si="9"/>
        <v>0</v>
      </c>
      <c r="W80" s="84">
        <f t="shared" si="10"/>
        <v>0</v>
      </c>
      <c r="X80" s="84">
        <f t="shared" si="11"/>
        <v>0</v>
      </c>
      <c r="Y80" s="84">
        <f t="shared" si="12"/>
        <v>0</v>
      </c>
      <c r="Z80" s="84">
        <f t="shared" si="13"/>
        <v>0</v>
      </c>
      <c r="AA80" s="84">
        <f t="shared" si="14"/>
        <v>190.00352368911066</v>
      </c>
      <c r="AB80" s="84">
        <f t="shared" si="15"/>
        <v>13.451171603756347</v>
      </c>
      <c r="AC80" s="84">
        <f t="shared" si="16"/>
        <v>9.0122849745167528</v>
      </c>
      <c r="AD80" s="84">
        <f t="shared" si="17"/>
        <v>495.49277031444683</v>
      </c>
      <c r="AE80" s="84">
        <f t="shared" si="18"/>
        <v>191.13664548316544</v>
      </c>
      <c r="AF80" s="84">
        <f t="shared" si="19"/>
        <v>560.38912096561955</v>
      </c>
      <c r="AG80" s="84">
        <f t="shared" si="20"/>
        <v>371.51871907056363</v>
      </c>
      <c r="AH80" s="84">
        <f t="shared" si="21"/>
        <v>318.06507616283159</v>
      </c>
    </row>
    <row r="81" spans="1:34" ht="14.1" customHeight="1" x14ac:dyDescent="0.2">
      <c r="A81" s="84">
        <f t="shared" si="27"/>
        <v>-4</v>
      </c>
      <c r="B81" s="84">
        <f t="shared" si="22"/>
        <v>-5</v>
      </c>
      <c r="C81" s="84">
        <f t="shared" si="0"/>
        <v>407.15040790523722</v>
      </c>
      <c r="D81" s="41" t="str">
        <f>INDEX('Data input'!D:D, MATCH(A81, 'Data input'!C:C, -1))</f>
        <v>CLAY</v>
      </c>
      <c r="E81" s="84">
        <f>INDEX('Data input'!H:H, MATCH(A81, 'Data input'!C:C, -1))/gammagamma</f>
        <v>18</v>
      </c>
      <c r="F81" s="91">
        <f>INDEX('Data input'!G:G, MATCH(A81, 'Data input'!C:C, -1))/gammaPhi</f>
        <v>22</v>
      </c>
      <c r="G81" s="84">
        <f t="shared" si="1"/>
        <v>93.195000000000007</v>
      </c>
      <c r="H81" s="84">
        <f t="shared" si="2"/>
        <v>98.100000000000009</v>
      </c>
      <c r="I81" s="84">
        <f t="shared" si="3"/>
        <v>154.62</v>
      </c>
      <c r="J81" s="84">
        <f t="shared" si="4"/>
        <v>163.62</v>
      </c>
      <c r="K81" s="84">
        <f t="shared" si="23"/>
        <v>61.424999999999997</v>
      </c>
      <c r="L81" s="84">
        <f t="shared" si="24"/>
        <v>65.52</v>
      </c>
      <c r="M81" s="91">
        <f t="shared" si="25"/>
        <v>22</v>
      </c>
      <c r="N81" s="84">
        <f>IF(ISNUMBER(INDEX('Data input'!I:I, MATCH(A81, 'Data input'!C:C, -1))),INDEX('Data input'!I:I, MATCH(A81, 'Data input'!C:C, -1)),1-SIN(RADIANS(F81)))</f>
        <v>0.62539340658408804</v>
      </c>
      <c r="O81" s="84">
        <f t="shared" si="26"/>
        <v>0.25267533772436079</v>
      </c>
      <c r="P81" s="84" cm="1">
        <f t="array" ref="P81">(IFERROR(
    IF(
        OR(
            INDEX('Data input'!$D:$D, MATCH((A81+B81)/2, 'Data input'!$C$39:$C$117, -1)+36)&lt;&gt;"CLAY",
            INDEX('Data input'!$E:$E, MATCH((A81+B81)/2, 'Data input'!$C$39:$C$117, -1)+36)=0
        ),
        0,
        INDEX('Data input'!$E:$E, MATCH((A81+B81)/2, 'Data input'!$C$39:$C$117, -1)+36)
        +
        (
            (INDEX('Data input'!$F:$F, MATCH((A81+B81)/2, 'Data input'!$C$39:$C$117, -1)+36)
            -
            INDEX('Data input'!$E:$E, MATCH((A81+B81)/2, 'Data input'!$C$39:$C$117, -1)+36))
            /
            (INDEX('Data input'!$C:$C, MATCH((A81+B81)/2, 'Data input'!$C$39:$C$117, -1)+36)
            -
            IF(
                MATCH((A81+B81)/2, 'Data input'!$C$39:$C$117, -1)+36=41,
                -1000,
                INDEX('Data input'!$C:$C, MATCH((A81+B81)/2, 'Data input'!$C$39:$C$117, -1)+37)
            ))
        )
        *
        (INDEX('Data input'!$C:$C, MATCH((A81+B81)/2, 'Data input'!$C$39:$C$117, -1)+36) - (A81+B81)/2)
    ),
    ""
))/gammacu</f>
        <v>0</v>
      </c>
      <c r="Q81" s="84" cm="1">
        <f t="array" ref="Q81">(IFERROR(
    IF(
        OR(
            INDEX('Data input'!$D:$D, MATCH(B81+0.00001, 'Data input'!$C$39:$C$117, -1)+36)&lt;&gt;"CLAY",
            INDEX('Data input'!$E:$E, MATCH(B81+0.00001, 'Data input'!$C$39:$C$117, -1)+36)=0
        ),
        0,
        INDEX('Data input'!$E:$E, MATCH(B81+0.00001, 'Data input'!$C$39:$C$117, -1)+36)
        +
        (
            (INDEX('Data input'!$F:$F, MATCH(B81+0.00001, 'Data input'!$C$39:$C$117, -1)+36)
            -
            INDEX('Data input'!$E:$E, MATCH(B81+0.00001, 'Data input'!$C$39:$C$117, -1)+36))
            /
            (INDEX('Data input'!$C:$C, MATCH(B81+0.00001, 'Data input'!$C$39:$C$117, -1)+36)
            -
            IF(
                MATCH(B81+0.00001, 'Data input'!$C$39:$C$117, -1)+36=41,
                -1000,
                INDEX('Data input'!$C:$C, MATCH(B81+0.00001, 'Data input'!$C$39:$C$117, -1)+37)
            ))
        )
        *
        (INDEX('Data input'!$C:$C, MATCH(B81+0.00001, 'Data input'!$C$39:$C$117, -1)+36) - B81)
    ),
    ""
))/gammacu</f>
        <v>0</v>
      </c>
      <c r="R81" s="84">
        <f t="shared" si="5"/>
        <v>1</v>
      </c>
      <c r="S81" s="84">
        <f t="shared" si="6"/>
        <v>9</v>
      </c>
      <c r="T81" s="84">
        <f t="shared" si="7"/>
        <v>8.6428182507316738</v>
      </c>
      <c r="U81" s="84">
        <f t="shared" si="8"/>
        <v>0</v>
      </c>
      <c r="V81" s="84">
        <f t="shared" si="9"/>
        <v>0</v>
      </c>
      <c r="W81" s="84">
        <f t="shared" si="10"/>
        <v>0</v>
      </c>
      <c r="X81" s="84">
        <f t="shared" si="11"/>
        <v>0</v>
      </c>
      <c r="Y81" s="84">
        <f t="shared" si="12"/>
        <v>0</v>
      </c>
      <c r="Z81" s="84">
        <f t="shared" si="13"/>
        <v>0</v>
      </c>
      <c r="AA81" s="84">
        <f t="shared" si="14"/>
        <v>217.14688421612647</v>
      </c>
      <c r="AB81" s="84">
        <f t="shared" si="15"/>
        <v>15.52058261971886</v>
      </c>
      <c r="AC81" s="84">
        <f t="shared" si="16"/>
        <v>10.398790355211638</v>
      </c>
      <c r="AD81" s="84">
        <f t="shared" si="17"/>
        <v>566.27745178793919</v>
      </c>
      <c r="AE81" s="84">
        <f t="shared" si="18"/>
        <v>249.64786348821607</v>
      </c>
      <c r="AF81" s="84">
        <f t="shared" si="19"/>
        <v>640.44470967499365</v>
      </c>
      <c r="AG81" s="84">
        <f t="shared" si="20"/>
        <v>482.94216525797253</v>
      </c>
      <c r="AH81" s="84">
        <f t="shared" si="21"/>
        <v>384.41095275323136</v>
      </c>
    </row>
    <row r="82" spans="1:34" ht="14.1" customHeight="1" x14ac:dyDescent="0.2">
      <c r="A82" s="84">
        <f t="shared" si="27"/>
        <v>-5</v>
      </c>
      <c r="B82" s="84">
        <f t="shared" si="22"/>
        <v>-6</v>
      </c>
      <c r="C82" s="84">
        <f t="shared" si="0"/>
        <v>434.29376843225305</v>
      </c>
      <c r="D82" s="41" t="str">
        <f>INDEX('Data input'!D:D, MATCH(A82, 'Data input'!C:C, -1))</f>
        <v>CLAY</v>
      </c>
      <c r="E82" s="84">
        <f>INDEX('Data input'!H:H, MATCH(A82, 'Data input'!C:C, -1))/gammagamma</f>
        <v>18</v>
      </c>
      <c r="F82" s="91">
        <f>INDEX('Data input'!G:G, MATCH(A82, 'Data input'!C:C, -1))/gammaPhi</f>
        <v>22</v>
      </c>
      <c r="G82" s="84">
        <f t="shared" si="1"/>
        <v>103.00500000000001</v>
      </c>
      <c r="H82" s="84">
        <f t="shared" si="2"/>
        <v>107.91000000000001</v>
      </c>
      <c r="I82" s="84">
        <f t="shared" si="3"/>
        <v>172.62</v>
      </c>
      <c r="J82" s="84">
        <f t="shared" si="4"/>
        <v>181.62</v>
      </c>
      <c r="K82" s="84">
        <f t="shared" si="23"/>
        <v>69.614999999999995</v>
      </c>
      <c r="L82" s="84">
        <f t="shared" si="24"/>
        <v>73.709999999999994</v>
      </c>
      <c r="M82" s="91">
        <f t="shared" si="25"/>
        <v>22</v>
      </c>
      <c r="N82" s="84">
        <f>IF(ISNUMBER(INDEX('Data input'!I:I, MATCH(A82, 'Data input'!C:C, -1))),INDEX('Data input'!I:I, MATCH(A82, 'Data input'!C:C, -1)),1-SIN(RADIANS(F82)))</f>
        <v>0.62539340658408804</v>
      </c>
      <c r="O82" s="84">
        <f t="shared" si="26"/>
        <v>0.25267533772436079</v>
      </c>
      <c r="P82" s="84" cm="1">
        <f t="array" ref="P82">(IFERROR(
    IF(
        OR(
            INDEX('Data input'!$D:$D, MATCH((A82+B82)/2, 'Data input'!$C$39:$C$117, -1)+36)&lt;&gt;"CLAY",
            INDEX('Data input'!$E:$E, MATCH((A82+B82)/2, 'Data input'!$C$39:$C$117, -1)+36)=0
        ),
        0,
        INDEX('Data input'!$E:$E, MATCH((A82+B82)/2, 'Data input'!$C$39:$C$117, -1)+36)
        +
        (
            (INDEX('Data input'!$F:$F, MATCH((A82+B82)/2, 'Data input'!$C$39:$C$117, -1)+36)
            -
            INDEX('Data input'!$E:$E, MATCH((A82+B82)/2, 'Data input'!$C$39:$C$117, -1)+36))
            /
            (INDEX('Data input'!$C:$C, MATCH((A82+B82)/2, 'Data input'!$C$39:$C$117, -1)+36)
            -
            IF(
                MATCH((A82+B82)/2, 'Data input'!$C$39:$C$117, -1)+36=41,
                -1000,
                INDEX('Data input'!$C:$C, MATCH((A82+B82)/2, 'Data input'!$C$39:$C$117, -1)+37)
            ))
        )
        *
        (INDEX('Data input'!$C:$C, MATCH((A82+B82)/2, 'Data input'!$C$39:$C$117, -1)+36) - (A82+B82)/2)
    ),
    ""
))/gammacu</f>
        <v>0</v>
      </c>
      <c r="Q82" s="84" cm="1">
        <f t="array" ref="Q82">(IFERROR(
    IF(
        OR(
            INDEX('Data input'!$D:$D, MATCH(B82+0.00001, 'Data input'!$C$39:$C$117, -1)+36)&lt;&gt;"CLAY",
            INDEX('Data input'!$E:$E, MATCH(B82+0.00001, 'Data input'!$C$39:$C$117, -1)+36)=0
        ),
        0,
        INDEX('Data input'!$E:$E, MATCH(B82+0.00001, 'Data input'!$C$39:$C$117, -1)+36)
        +
        (
            (INDEX('Data input'!$F:$F, MATCH(B82+0.00001, 'Data input'!$C$39:$C$117, -1)+36)
            -
            INDEX('Data input'!$E:$E, MATCH(B82+0.00001, 'Data input'!$C$39:$C$117, -1)+36))
            /
            (INDEX('Data input'!$C:$C, MATCH(B82+0.00001, 'Data input'!$C$39:$C$117, -1)+36)
            -
            IF(
                MATCH(B82+0.00001, 'Data input'!$C$39:$C$117, -1)+36=41,
                -1000,
                INDEX('Data input'!$C:$C, MATCH(B82+0.00001, 'Data input'!$C$39:$C$117, -1)+37)
            ))
        )
        *
        (INDEX('Data input'!$C:$C, MATCH(B82+0.00001, 'Data input'!$C$39:$C$117, -1)+36) - B82)
    ),
    ""
))/gammacu</f>
        <v>0</v>
      </c>
      <c r="R82" s="84">
        <f t="shared" si="5"/>
        <v>1</v>
      </c>
      <c r="S82" s="84">
        <f t="shared" si="6"/>
        <v>9</v>
      </c>
      <c r="T82" s="84">
        <f t="shared" si="7"/>
        <v>8.6428182507316738</v>
      </c>
      <c r="U82" s="84">
        <f t="shared" si="8"/>
        <v>0</v>
      </c>
      <c r="V82" s="84">
        <f t="shared" si="9"/>
        <v>0</v>
      </c>
      <c r="W82" s="84">
        <f t="shared" si="10"/>
        <v>0</v>
      </c>
      <c r="X82" s="84">
        <f t="shared" si="11"/>
        <v>0</v>
      </c>
      <c r="Y82" s="84">
        <f t="shared" si="12"/>
        <v>0</v>
      </c>
      <c r="Z82" s="84">
        <f t="shared" si="13"/>
        <v>0</v>
      </c>
      <c r="AA82" s="84">
        <f t="shared" si="14"/>
        <v>244.29024474314227</v>
      </c>
      <c r="AB82" s="84">
        <f t="shared" si="15"/>
        <v>17.589993635681374</v>
      </c>
      <c r="AC82" s="84">
        <f t="shared" si="16"/>
        <v>11.785295735906521</v>
      </c>
      <c r="AD82" s="84">
        <f t="shared" si="17"/>
        <v>637.06213326143165</v>
      </c>
      <c r="AE82" s="84">
        <f t="shared" si="18"/>
        <v>315.96057722727346</v>
      </c>
      <c r="AF82" s="84">
        <f t="shared" si="19"/>
        <v>720.50029838436785</v>
      </c>
      <c r="AG82" s="84">
        <f t="shared" si="20"/>
        <v>602.16710717938827</v>
      </c>
      <c r="AH82" s="84">
        <f t="shared" si="21"/>
        <v>455.98383148541564</v>
      </c>
    </row>
    <row r="83" spans="1:34" ht="14.1" customHeight="1" x14ac:dyDescent="0.2">
      <c r="A83" s="84">
        <f t="shared" si="27"/>
        <v>-6</v>
      </c>
      <c r="B83" s="84">
        <f t="shared" si="22"/>
        <v>-7</v>
      </c>
      <c r="C83" s="84">
        <f t="shared" si="0"/>
        <v>461.43712895926888</v>
      </c>
      <c r="D83" s="41" t="str">
        <f>INDEX('Data input'!D:D, MATCH(A83, 'Data input'!C:C, -1))</f>
        <v>CLAY</v>
      </c>
      <c r="E83" s="84">
        <f>INDEX('Data input'!H:H, MATCH(A83, 'Data input'!C:C, -1))/gammagamma</f>
        <v>18</v>
      </c>
      <c r="F83" s="91">
        <f>INDEX('Data input'!G:G, MATCH(A83, 'Data input'!C:C, -1))/gammaPhi</f>
        <v>22</v>
      </c>
      <c r="G83" s="84">
        <f t="shared" si="1"/>
        <v>112.81500000000001</v>
      </c>
      <c r="H83" s="84">
        <f t="shared" si="2"/>
        <v>117.72</v>
      </c>
      <c r="I83" s="84">
        <f t="shared" si="3"/>
        <v>190.62</v>
      </c>
      <c r="J83" s="84">
        <f t="shared" si="4"/>
        <v>199.62</v>
      </c>
      <c r="K83" s="84">
        <f t="shared" si="23"/>
        <v>77.804999999999993</v>
      </c>
      <c r="L83" s="84">
        <f t="shared" si="24"/>
        <v>81.900000000000006</v>
      </c>
      <c r="M83" s="91">
        <f t="shared" si="25"/>
        <v>22</v>
      </c>
      <c r="N83" s="84">
        <f>IF(ISNUMBER(INDEX('Data input'!I:I, MATCH(A83, 'Data input'!C:C, -1))),INDEX('Data input'!I:I, MATCH(A83, 'Data input'!C:C, -1)),1-SIN(RADIANS(F83)))</f>
        <v>0.62539340658408804</v>
      </c>
      <c r="O83" s="84">
        <f t="shared" si="26"/>
        <v>0.25267533772436079</v>
      </c>
      <c r="P83" s="84" cm="1">
        <f t="array" ref="P83">(IFERROR(
    IF(
        OR(
            INDEX('Data input'!$D:$D, MATCH((A83+B83)/2, 'Data input'!$C$39:$C$117, -1)+36)&lt;&gt;"CLAY",
            INDEX('Data input'!$E:$E, MATCH((A83+B83)/2, 'Data input'!$C$39:$C$117, -1)+36)=0
        ),
        0,
        INDEX('Data input'!$E:$E, MATCH((A83+B83)/2, 'Data input'!$C$39:$C$117, -1)+36)
        +
        (
            (INDEX('Data input'!$F:$F, MATCH((A83+B83)/2, 'Data input'!$C$39:$C$117, -1)+36)
            -
            INDEX('Data input'!$E:$E, MATCH((A83+B83)/2, 'Data input'!$C$39:$C$117, -1)+36))
            /
            (INDEX('Data input'!$C:$C, MATCH((A83+B83)/2, 'Data input'!$C$39:$C$117, -1)+36)
            -
            IF(
                MATCH((A83+B83)/2, 'Data input'!$C$39:$C$117, -1)+36=41,
                -1000,
                INDEX('Data input'!$C:$C, MATCH((A83+B83)/2, 'Data input'!$C$39:$C$117, -1)+37)
            ))
        )
        *
        (INDEX('Data input'!$C:$C, MATCH((A83+B83)/2, 'Data input'!$C$39:$C$117, -1)+36) - (A83+B83)/2)
    ),
    ""
))/gammacu</f>
        <v>0</v>
      </c>
      <c r="Q83" s="84" cm="1">
        <f t="array" ref="Q83">(IFERROR(
    IF(
        OR(
            INDEX('Data input'!$D:$D, MATCH(B83+0.00001, 'Data input'!$C$39:$C$117, -1)+36)&lt;&gt;"CLAY",
            INDEX('Data input'!$E:$E, MATCH(B83+0.00001, 'Data input'!$C$39:$C$117, -1)+36)=0
        ),
        0,
        INDEX('Data input'!$E:$E, MATCH(B83+0.00001, 'Data input'!$C$39:$C$117, -1)+36)
        +
        (
            (INDEX('Data input'!$F:$F, MATCH(B83+0.00001, 'Data input'!$C$39:$C$117, -1)+36)
            -
            INDEX('Data input'!$E:$E, MATCH(B83+0.00001, 'Data input'!$C$39:$C$117, -1)+36))
            /
            (INDEX('Data input'!$C:$C, MATCH(B83+0.00001, 'Data input'!$C$39:$C$117, -1)+36)
            -
            IF(
                MATCH(B83+0.00001, 'Data input'!$C$39:$C$117, -1)+36=41,
                -1000,
                INDEX('Data input'!$C:$C, MATCH(B83+0.00001, 'Data input'!$C$39:$C$117, -1)+37)
            ))
        )
        *
        (INDEX('Data input'!$C:$C, MATCH(B83+0.00001, 'Data input'!$C$39:$C$117, -1)+36) - B83)
    ),
    ""
))/gammacu</f>
        <v>0</v>
      </c>
      <c r="R83" s="84">
        <f t="shared" si="5"/>
        <v>1</v>
      </c>
      <c r="S83" s="84">
        <f t="shared" si="6"/>
        <v>9</v>
      </c>
      <c r="T83" s="84">
        <f t="shared" si="7"/>
        <v>8.6428182507316738</v>
      </c>
      <c r="U83" s="84">
        <f t="shared" si="8"/>
        <v>0</v>
      </c>
      <c r="V83" s="84">
        <f t="shared" si="9"/>
        <v>0</v>
      </c>
      <c r="W83" s="84">
        <f t="shared" si="10"/>
        <v>0</v>
      </c>
      <c r="X83" s="84">
        <f t="shared" si="11"/>
        <v>0</v>
      </c>
      <c r="Y83" s="84">
        <f t="shared" si="12"/>
        <v>0</v>
      </c>
      <c r="Z83" s="84">
        <f t="shared" si="13"/>
        <v>0</v>
      </c>
      <c r="AA83" s="84">
        <f t="shared" si="14"/>
        <v>271.43360527015807</v>
      </c>
      <c r="AB83" s="84">
        <f t="shared" si="15"/>
        <v>19.659404651643889</v>
      </c>
      <c r="AC83" s="84">
        <f t="shared" si="16"/>
        <v>13.171801116601406</v>
      </c>
      <c r="AD83" s="84">
        <f t="shared" si="17"/>
        <v>707.84681473492412</v>
      </c>
      <c r="AE83" s="84">
        <f t="shared" si="18"/>
        <v>390.0747867003376</v>
      </c>
      <c r="AF83" s="84">
        <f t="shared" si="19"/>
        <v>800.55588709374217</v>
      </c>
      <c r="AG83" s="84">
        <f t="shared" si="20"/>
        <v>729.19354483481084</v>
      </c>
      <c r="AH83" s="84">
        <f t="shared" si="21"/>
        <v>532.78371235938437</v>
      </c>
    </row>
    <row r="84" spans="1:34" ht="14.1" customHeight="1" x14ac:dyDescent="0.2">
      <c r="A84" s="84">
        <f t="shared" si="27"/>
        <v>-7</v>
      </c>
      <c r="B84" s="84">
        <f t="shared" si="22"/>
        <v>-8</v>
      </c>
      <c r="C84" s="84">
        <f t="shared" si="0"/>
        <v>488.5804894862847</v>
      </c>
      <c r="D84" s="41" t="str">
        <f>INDEX('Data input'!D:D, MATCH(A84, 'Data input'!C:C, -1))</f>
        <v>CLAY</v>
      </c>
      <c r="E84" s="84">
        <f>INDEX('Data input'!H:H, MATCH(A84, 'Data input'!C:C, -1))/gammagamma</f>
        <v>18</v>
      </c>
      <c r="F84" s="91">
        <f>INDEX('Data input'!G:G, MATCH(A84, 'Data input'!C:C, -1))/gammaPhi</f>
        <v>22</v>
      </c>
      <c r="G84" s="84">
        <f t="shared" si="1"/>
        <v>122.625</v>
      </c>
      <c r="H84" s="84">
        <f t="shared" si="2"/>
        <v>127.53</v>
      </c>
      <c r="I84" s="84">
        <f t="shared" si="3"/>
        <v>208.62</v>
      </c>
      <c r="J84" s="84">
        <f t="shared" si="4"/>
        <v>217.62</v>
      </c>
      <c r="K84" s="84">
        <f t="shared" si="23"/>
        <v>85.995000000000005</v>
      </c>
      <c r="L84" s="84">
        <f t="shared" si="24"/>
        <v>90.09</v>
      </c>
      <c r="M84" s="91">
        <f t="shared" si="25"/>
        <v>22</v>
      </c>
      <c r="N84" s="84">
        <f>IF(ISNUMBER(INDEX('Data input'!I:I, MATCH(A84, 'Data input'!C:C, -1))),INDEX('Data input'!I:I, MATCH(A84, 'Data input'!C:C, -1)),1-SIN(RADIANS(F84)))</f>
        <v>0.62539340658408804</v>
      </c>
      <c r="O84" s="84">
        <f t="shared" si="26"/>
        <v>0.25267533772436079</v>
      </c>
      <c r="P84" s="84" cm="1">
        <f t="array" ref="P84">(IFERROR(
    IF(
        OR(
            INDEX('Data input'!$D:$D, MATCH((A84+B84)/2, 'Data input'!$C$39:$C$117, -1)+36)&lt;&gt;"CLAY",
            INDEX('Data input'!$E:$E, MATCH((A84+B84)/2, 'Data input'!$C$39:$C$117, -1)+36)=0
        ),
        0,
        INDEX('Data input'!$E:$E, MATCH((A84+B84)/2, 'Data input'!$C$39:$C$117, -1)+36)
        +
        (
            (INDEX('Data input'!$F:$F, MATCH((A84+B84)/2, 'Data input'!$C$39:$C$117, -1)+36)
            -
            INDEX('Data input'!$E:$E, MATCH((A84+B84)/2, 'Data input'!$C$39:$C$117, -1)+36))
            /
            (INDEX('Data input'!$C:$C, MATCH((A84+B84)/2, 'Data input'!$C$39:$C$117, -1)+36)
            -
            IF(
                MATCH((A84+B84)/2, 'Data input'!$C$39:$C$117, -1)+36=41,
                -1000,
                INDEX('Data input'!$C:$C, MATCH((A84+B84)/2, 'Data input'!$C$39:$C$117, -1)+37)
            ))
        )
        *
        (INDEX('Data input'!$C:$C, MATCH((A84+B84)/2, 'Data input'!$C$39:$C$117, -1)+36) - (A84+B84)/2)
    ),
    ""
))/gammacu</f>
        <v>0</v>
      </c>
      <c r="Q84" s="84" cm="1">
        <f t="array" ref="Q84">(IFERROR(
    IF(
        OR(
            INDEX('Data input'!$D:$D, MATCH(B84+0.00001, 'Data input'!$C$39:$C$117, -1)+36)&lt;&gt;"CLAY",
            INDEX('Data input'!$E:$E, MATCH(B84+0.00001, 'Data input'!$C$39:$C$117, -1)+36)=0
        ),
        0,
        INDEX('Data input'!$E:$E, MATCH(B84+0.00001, 'Data input'!$C$39:$C$117, -1)+36)
        +
        (
            (INDEX('Data input'!$F:$F, MATCH(B84+0.00001, 'Data input'!$C$39:$C$117, -1)+36)
            -
            INDEX('Data input'!$E:$E, MATCH(B84+0.00001, 'Data input'!$C$39:$C$117, -1)+36))
            /
            (INDEX('Data input'!$C:$C, MATCH(B84+0.00001, 'Data input'!$C$39:$C$117, -1)+36)
            -
            IF(
                MATCH(B84+0.00001, 'Data input'!$C$39:$C$117, -1)+36=41,
                -1000,
                INDEX('Data input'!$C:$C, MATCH(B84+0.00001, 'Data input'!$C$39:$C$117, -1)+37)
            ))
        )
        *
        (INDEX('Data input'!$C:$C, MATCH(B84+0.00001, 'Data input'!$C$39:$C$117, -1)+36) - B84)
    ),
    ""
))/gammacu</f>
        <v>0</v>
      </c>
      <c r="R84" s="84">
        <f t="shared" si="5"/>
        <v>1</v>
      </c>
      <c r="S84" s="84">
        <f t="shared" si="6"/>
        <v>9</v>
      </c>
      <c r="T84" s="84">
        <f t="shared" si="7"/>
        <v>8.6428182507316738</v>
      </c>
      <c r="U84" s="84">
        <f t="shared" si="8"/>
        <v>0</v>
      </c>
      <c r="V84" s="84">
        <f t="shared" si="9"/>
        <v>0</v>
      </c>
      <c r="W84" s="84">
        <f t="shared" si="10"/>
        <v>0</v>
      </c>
      <c r="X84" s="84">
        <f t="shared" si="11"/>
        <v>0</v>
      </c>
      <c r="Y84" s="84">
        <f t="shared" si="12"/>
        <v>0</v>
      </c>
      <c r="Z84" s="84">
        <f t="shared" si="13"/>
        <v>0</v>
      </c>
      <c r="AA84" s="84">
        <f t="shared" si="14"/>
        <v>298.5769657971739</v>
      </c>
      <c r="AB84" s="84">
        <f t="shared" si="15"/>
        <v>21.728815667606408</v>
      </c>
      <c r="AC84" s="84">
        <f t="shared" si="16"/>
        <v>14.558306497296295</v>
      </c>
      <c r="AD84" s="84">
        <f t="shared" si="17"/>
        <v>778.63149620841648</v>
      </c>
      <c r="AE84" s="84">
        <f t="shared" si="18"/>
        <v>471.99049190740851</v>
      </c>
      <c r="AF84" s="84">
        <f t="shared" si="19"/>
        <v>880.61147580311638</v>
      </c>
      <c r="AG84" s="84">
        <f t="shared" si="20"/>
        <v>864.02147822424013</v>
      </c>
      <c r="AH84" s="84">
        <f t="shared" si="21"/>
        <v>614.81059537513772</v>
      </c>
    </row>
    <row r="85" spans="1:34" ht="14.1" customHeight="1" x14ac:dyDescent="0.2">
      <c r="A85" s="84">
        <f t="shared" si="27"/>
        <v>-8</v>
      </c>
      <c r="B85" s="84">
        <f t="shared" si="22"/>
        <v>-9</v>
      </c>
      <c r="C85" s="84">
        <f t="shared" si="0"/>
        <v>515.72385001330053</v>
      </c>
      <c r="D85" s="41" t="str">
        <f>INDEX('Data input'!D:D, MATCH(A85, 'Data input'!C:C, -1))</f>
        <v>CLAY</v>
      </c>
      <c r="E85" s="84">
        <f>INDEX('Data input'!H:H, MATCH(A85, 'Data input'!C:C, -1))/gammagamma</f>
        <v>18</v>
      </c>
      <c r="F85" s="91">
        <f>INDEX('Data input'!G:G, MATCH(A85, 'Data input'!C:C, -1))/gammaPhi</f>
        <v>22</v>
      </c>
      <c r="G85" s="84">
        <f t="shared" si="1"/>
        <v>132.435</v>
      </c>
      <c r="H85" s="84">
        <f t="shared" si="2"/>
        <v>137.34</v>
      </c>
      <c r="I85" s="84">
        <f t="shared" si="3"/>
        <v>226.62</v>
      </c>
      <c r="J85" s="84">
        <f t="shared" si="4"/>
        <v>235.62</v>
      </c>
      <c r="K85" s="84">
        <f t="shared" si="23"/>
        <v>94.185000000000002</v>
      </c>
      <c r="L85" s="84">
        <f t="shared" si="24"/>
        <v>98.28</v>
      </c>
      <c r="M85" s="91">
        <f t="shared" si="25"/>
        <v>22</v>
      </c>
      <c r="N85" s="84">
        <f>IF(ISNUMBER(INDEX('Data input'!I:I, MATCH(A85, 'Data input'!C:C, -1))),INDEX('Data input'!I:I, MATCH(A85, 'Data input'!C:C, -1)),1-SIN(RADIANS(F85)))</f>
        <v>0.62539340658408804</v>
      </c>
      <c r="O85" s="84">
        <f t="shared" si="26"/>
        <v>0.25267533772436079</v>
      </c>
      <c r="P85" s="84" cm="1">
        <f t="array" ref="P85">(IFERROR(
    IF(
        OR(
            INDEX('Data input'!$D:$D, MATCH((A85+B85)/2, 'Data input'!$C$39:$C$117, -1)+36)&lt;&gt;"CLAY",
            INDEX('Data input'!$E:$E, MATCH((A85+B85)/2, 'Data input'!$C$39:$C$117, -1)+36)=0
        ),
        0,
        INDEX('Data input'!$E:$E, MATCH((A85+B85)/2, 'Data input'!$C$39:$C$117, -1)+36)
        +
        (
            (INDEX('Data input'!$F:$F, MATCH((A85+B85)/2, 'Data input'!$C$39:$C$117, -1)+36)
            -
            INDEX('Data input'!$E:$E, MATCH((A85+B85)/2, 'Data input'!$C$39:$C$117, -1)+36))
            /
            (INDEX('Data input'!$C:$C, MATCH((A85+B85)/2, 'Data input'!$C$39:$C$117, -1)+36)
            -
            IF(
                MATCH((A85+B85)/2, 'Data input'!$C$39:$C$117, -1)+36=41,
                -1000,
                INDEX('Data input'!$C:$C, MATCH((A85+B85)/2, 'Data input'!$C$39:$C$117, -1)+37)
            ))
        )
        *
        (INDEX('Data input'!$C:$C, MATCH((A85+B85)/2, 'Data input'!$C$39:$C$117, -1)+36) - (A85+B85)/2)
    ),
    ""
))/gammacu</f>
        <v>0</v>
      </c>
      <c r="Q85" s="84" cm="1">
        <f t="array" ref="Q85">(IFERROR(
    IF(
        OR(
            INDEX('Data input'!$D:$D, MATCH(B85+0.00001, 'Data input'!$C$39:$C$117, -1)+36)&lt;&gt;"CLAY",
            INDEX('Data input'!$E:$E, MATCH(B85+0.00001, 'Data input'!$C$39:$C$117, -1)+36)=0
        ),
        0,
        INDEX('Data input'!$E:$E, MATCH(B85+0.00001, 'Data input'!$C$39:$C$117, -1)+36)
        +
        (
            (INDEX('Data input'!$F:$F, MATCH(B85+0.00001, 'Data input'!$C$39:$C$117, -1)+36)
            -
            INDEX('Data input'!$E:$E, MATCH(B85+0.00001, 'Data input'!$C$39:$C$117, -1)+36))
            /
            (INDEX('Data input'!$C:$C, MATCH(B85+0.00001, 'Data input'!$C$39:$C$117, -1)+36)
            -
            IF(
                MATCH(B85+0.00001, 'Data input'!$C$39:$C$117, -1)+36=41,
                -1000,
                INDEX('Data input'!$C:$C, MATCH(B85+0.00001, 'Data input'!$C$39:$C$117, -1)+37)
            ))
        )
        *
        (INDEX('Data input'!$C:$C, MATCH(B85+0.00001, 'Data input'!$C$39:$C$117, -1)+36) - B85)
    ),
    ""
))/gammacu</f>
        <v>0</v>
      </c>
      <c r="R85" s="84">
        <f t="shared" si="5"/>
        <v>1</v>
      </c>
      <c r="S85" s="84">
        <f t="shared" si="6"/>
        <v>9</v>
      </c>
      <c r="T85" s="84">
        <f t="shared" si="7"/>
        <v>8.6428182507316738</v>
      </c>
      <c r="U85" s="84">
        <f t="shared" si="8"/>
        <v>0</v>
      </c>
      <c r="V85" s="84">
        <f t="shared" si="9"/>
        <v>0</v>
      </c>
      <c r="W85" s="84">
        <f t="shared" si="10"/>
        <v>0</v>
      </c>
      <c r="X85" s="84">
        <f t="shared" si="11"/>
        <v>0</v>
      </c>
      <c r="Y85" s="84">
        <f t="shared" si="12"/>
        <v>0</v>
      </c>
      <c r="Z85" s="84">
        <f t="shared" si="13"/>
        <v>0</v>
      </c>
      <c r="AA85" s="84">
        <f t="shared" si="14"/>
        <v>325.72032632418973</v>
      </c>
      <c r="AB85" s="84">
        <f t="shared" si="15"/>
        <v>23.79822668356892</v>
      </c>
      <c r="AC85" s="84">
        <f t="shared" si="16"/>
        <v>15.944811877991178</v>
      </c>
      <c r="AD85" s="84">
        <f t="shared" si="17"/>
        <v>849.41617768190895</v>
      </c>
      <c r="AE85" s="84">
        <f t="shared" si="18"/>
        <v>561.7076928484862</v>
      </c>
      <c r="AF85" s="84">
        <f t="shared" si="19"/>
        <v>960.66706451249058</v>
      </c>
      <c r="AG85" s="84">
        <f t="shared" si="20"/>
        <v>1006.6509073476761</v>
      </c>
      <c r="AH85" s="84">
        <f t="shared" si="21"/>
        <v>702.06448053267559</v>
      </c>
    </row>
    <row r="86" spans="1:34" ht="14.1" customHeight="1" x14ac:dyDescent="0.2">
      <c r="A86" s="84">
        <f t="shared" si="27"/>
        <v>-9</v>
      </c>
      <c r="B86" s="84">
        <f t="shared" si="22"/>
        <v>-10</v>
      </c>
      <c r="C86" s="84">
        <f t="shared" si="0"/>
        <v>542.86721054031636</v>
      </c>
      <c r="D86" s="41" t="str">
        <f>INDEX('Data input'!D:D, MATCH(A86, 'Data input'!C:C, -1))</f>
        <v>CLAY</v>
      </c>
      <c r="E86" s="84">
        <f>INDEX('Data input'!H:H, MATCH(A86, 'Data input'!C:C, -1))/gammagamma</f>
        <v>18</v>
      </c>
      <c r="F86" s="91">
        <f>INDEX('Data input'!G:G, MATCH(A86, 'Data input'!C:C, -1))/gammaPhi</f>
        <v>22</v>
      </c>
      <c r="G86" s="84">
        <f t="shared" si="1"/>
        <v>142.245</v>
      </c>
      <c r="H86" s="84">
        <f t="shared" si="2"/>
        <v>147.15</v>
      </c>
      <c r="I86" s="84">
        <f t="shared" si="3"/>
        <v>244.62</v>
      </c>
      <c r="J86" s="84">
        <f t="shared" si="4"/>
        <v>253.62</v>
      </c>
      <c r="K86" s="84">
        <f t="shared" si="23"/>
        <v>102.375</v>
      </c>
      <c r="L86" s="84">
        <f t="shared" si="24"/>
        <v>106.47</v>
      </c>
      <c r="M86" s="91">
        <f t="shared" si="25"/>
        <v>22</v>
      </c>
      <c r="N86" s="84">
        <f>IF(ISNUMBER(INDEX('Data input'!I:I, MATCH(A86, 'Data input'!C:C, -1))),INDEX('Data input'!I:I, MATCH(A86, 'Data input'!C:C, -1)),1-SIN(RADIANS(F86)))</f>
        <v>0.62539340658408804</v>
      </c>
      <c r="O86" s="84">
        <f t="shared" si="26"/>
        <v>0.25267533772436079</v>
      </c>
      <c r="P86" s="84" cm="1">
        <f t="array" ref="P86">(IFERROR(
    IF(
        OR(
            INDEX('Data input'!$D:$D, MATCH((A86+B86)/2, 'Data input'!$C$39:$C$117, -1)+36)&lt;&gt;"CLAY",
            INDEX('Data input'!$E:$E, MATCH((A86+B86)/2, 'Data input'!$C$39:$C$117, -1)+36)=0
        ),
        0,
        INDEX('Data input'!$E:$E, MATCH((A86+B86)/2, 'Data input'!$C$39:$C$117, -1)+36)
        +
        (
            (INDEX('Data input'!$F:$F, MATCH((A86+B86)/2, 'Data input'!$C$39:$C$117, -1)+36)
            -
            INDEX('Data input'!$E:$E, MATCH((A86+B86)/2, 'Data input'!$C$39:$C$117, -1)+36))
            /
            (INDEX('Data input'!$C:$C, MATCH((A86+B86)/2, 'Data input'!$C$39:$C$117, -1)+36)
            -
            IF(
                MATCH((A86+B86)/2, 'Data input'!$C$39:$C$117, -1)+36=41,
                -1000,
                INDEX('Data input'!$C:$C, MATCH((A86+B86)/2, 'Data input'!$C$39:$C$117, -1)+37)
            ))
        )
        *
        (INDEX('Data input'!$C:$C, MATCH((A86+B86)/2, 'Data input'!$C$39:$C$117, -1)+36) - (A86+B86)/2)
    ),
    ""
))/gammacu</f>
        <v>0</v>
      </c>
      <c r="Q86" s="84" cm="1">
        <f t="array" ref="Q86">(IFERROR(
    IF(
        OR(
            INDEX('Data input'!$D:$D, MATCH(B86+0.00001, 'Data input'!$C$39:$C$117, -1)+36)&lt;&gt;"CLAY",
            INDEX('Data input'!$E:$E, MATCH(B86+0.00001, 'Data input'!$C$39:$C$117, -1)+36)=0
        ),
        0,
        INDEX('Data input'!$E:$E, MATCH(B86+0.00001, 'Data input'!$C$39:$C$117, -1)+36)
        +
        (
            (INDEX('Data input'!$F:$F, MATCH(B86+0.00001, 'Data input'!$C$39:$C$117, -1)+36)
            -
            INDEX('Data input'!$E:$E, MATCH(B86+0.00001, 'Data input'!$C$39:$C$117, -1)+36))
            /
            (INDEX('Data input'!$C:$C, MATCH(B86+0.00001, 'Data input'!$C$39:$C$117, -1)+36)
            -
            IF(
                MATCH(B86+0.00001, 'Data input'!$C$39:$C$117, -1)+36=41,
                -1000,
                INDEX('Data input'!$C:$C, MATCH(B86+0.00001, 'Data input'!$C$39:$C$117, -1)+37)
            ))
        )
        *
        (INDEX('Data input'!$C:$C, MATCH(B86+0.00001, 'Data input'!$C$39:$C$117, -1)+36) - B86)
    ),
    ""
))/gammacu</f>
        <v>0</v>
      </c>
      <c r="R86" s="84">
        <f t="shared" si="5"/>
        <v>1</v>
      </c>
      <c r="S86" s="84">
        <f t="shared" si="6"/>
        <v>9</v>
      </c>
      <c r="T86" s="84">
        <f t="shared" si="7"/>
        <v>8.6428182507316738</v>
      </c>
      <c r="U86" s="84">
        <f t="shared" si="8"/>
        <v>0</v>
      </c>
      <c r="V86" s="84">
        <f t="shared" si="9"/>
        <v>0</v>
      </c>
      <c r="W86" s="84">
        <f t="shared" si="10"/>
        <v>0</v>
      </c>
      <c r="X86" s="84">
        <f t="shared" si="11"/>
        <v>0</v>
      </c>
      <c r="Y86" s="84">
        <f t="shared" si="12"/>
        <v>0</v>
      </c>
      <c r="Z86" s="84">
        <f t="shared" si="13"/>
        <v>0</v>
      </c>
      <c r="AA86" s="84">
        <f t="shared" si="14"/>
        <v>352.86368685120556</v>
      </c>
      <c r="AB86" s="84">
        <f t="shared" si="15"/>
        <v>25.867637699531436</v>
      </c>
      <c r="AC86" s="84">
        <f t="shared" si="16"/>
        <v>17.331317258686063</v>
      </c>
      <c r="AD86" s="84">
        <f t="shared" si="17"/>
        <v>920.2008591554013</v>
      </c>
      <c r="AE86" s="84">
        <f t="shared" si="18"/>
        <v>659.22638952357056</v>
      </c>
      <c r="AF86" s="84">
        <f t="shared" si="19"/>
        <v>1040.7226532218649</v>
      </c>
      <c r="AG86" s="84">
        <f t="shared" si="20"/>
        <v>1157.0818322051191</v>
      </c>
      <c r="AH86" s="84">
        <f t="shared" si="21"/>
        <v>794.54536783199796</v>
      </c>
    </row>
    <row r="87" spans="1:34" ht="14.1" customHeight="1" x14ac:dyDescent="0.2">
      <c r="A87" s="84">
        <f t="shared" si="27"/>
        <v>-10</v>
      </c>
      <c r="B87" s="84">
        <f t="shared" si="22"/>
        <v>-11</v>
      </c>
      <c r="C87" s="84">
        <f t="shared" si="0"/>
        <v>570.01057106733219</v>
      </c>
      <c r="D87" s="41" t="str">
        <f>INDEX('Data input'!D:D, MATCH(A87, 'Data input'!C:C, -1))</f>
        <v>CLAY</v>
      </c>
      <c r="E87" s="84">
        <f>INDEX('Data input'!H:H, MATCH(A87, 'Data input'!C:C, -1))/gammagamma</f>
        <v>20</v>
      </c>
      <c r="F87" s="91">
        <f>INDEX('Data input'!G:G, MATCH(A87, 'Data input'!C:C, -1))/gammaPhi</f>
        <v>24</v>
      </c>
      <c r="G87" s="84">
        <f t="shared" si="1"/>
        <v>152.05500000000001</v>
      </c>
      <c r="H87" s="84">
        <f t="shared" si="2"/>
        <v>156.96</v>
      </c>
      <c r="I87" s="84">
        <f t="shared" si="3"/>
        <v>263.62</v>
      </c>
      <c r="J87" s="84">
        <f t="shared" si="4"/>
        <v>273.62</v>
      </c>
      <c r="K87" s="84">
        <f t="shared" si="23"/>
        <v>111.565</v>
      </c>
      <c r="L87" s="84">
        <f t="shared" si="24"/>
        <v>116.66</v>
      </c>
      <c r="M87" s="91">
        <f t="shared" si="25"/>
        <v>24</v>
      </c>
      <c r="N87" s="84">
        <f>IF(ISNUMBER(INDEX('Data input'!I:I, MATCH(A87, 'Data input'!C:C, -1))),INDEX('Data input'!I:I, MATCH(A87, 'Data input'!C:C, -1)),1-SIN(RADIANS(F87)))</f>
        <v>0.59326335692419985</v>
      </c>
      <c r="O87" s="84">
        <f t="shared" si="26"/>
        <v>0.26413786444509035</v>
      </c>
      <c r="P87" s="84" cm="1">
        <f t="array" ref="P87">(IFERROR(
    IF(
        OR(
            INDEX('Data input'!$D:$D, MATCH((A87+B87)/2, 'Data input'!$C$39:$C$117, -1)+36)&lt;&gt;"CLAY",
            INDEX('Data input'!$E:$E, MATCH((A87+B87)/2, 'Data input'!$C$39:$C$117, -1)+36)=0
        ),
        0,
        INDEX('Data input'!$E:$E, MATCH((A87+B87)/2, 'Data input'!$C$39:$C$117, -1)+36)
        +
        (
            (INDEX('Data input'!$F:$F, MATCH((A87+B87)/2, 'Data input'!$C$39:$C$117, -1)+36)
            -
            INDEX('Data input'!$E:$E, MATCH((A87+B87)/2, 'Data input'!$C$39:$C$117, -1)+36))
            /
            (INDEX('Data input'!$C:$C, MATCH((A87+B87)/2, 'Data input'!$C$39:$C$117, -1)+36)
            -
            IF(
                MATCH((A87+B87)/2, 'Data input'!$C$39:$C$117, -1)+36=41,
                -1000,
                INDEX('Data input'!$C:$C, MATCH((A87+B87)/2, 'Data input'!$C$39:$C$117, -1)+37)
            ))
        )
        *
        (INDEX('Data input'!$C:$C, MATCH((A87+B87)/2, 'Data input'!$C$39:$C$117, -1)+36) - (A87+B87)/2)
    ),
    ""
))/gammacu</f>
        <v>0</v>
      </c>
      <c r="Q87" s="84" cm="1">
        <f t="array" ref="Q87">(IFERROR(
    IF(
        OR(
            INDEX('Data input'!$D:$D, MATCH(B87+0.00001, 'Data input'!$C$39:$C$117, -1)+36)&lt;&gt;"CLAY",
            INDEX('Data input'!$E:$E, MATCH(B87+0.00001, 'Data input'!$C$39:$C$117, -1)+36)=0
        ),
        0,
        INDEX('Data input'!$E:$E, MATCH(B87+0.00001, 'Data input'!$C$39:$C$117, -1)+36)
        +
        (
            (INDEX('Data input'!$F:$F, MATCH(B87+0.00001, 'Data input'!$C$39:$C$117, -1)+36)
            -
            INDEX('Data input'!$E:$E, MATCH(B87+0.00001, 'Data input'!$C$39:$C$117, -1)+36))
            /
            (INDEX('Data input'!$C:$C, MATCH(B87+0.00001, 'Data input'!$C$39:$C$117, -1)+36)
            -
            IF(
                MATCH(B87+0.00001, 'Data input'!$C$39:$C$117, -1)+36=41,
                -1000,
                INDEX('Data input'!$C:$C, MATCH(B87+0.00001, 'Data input'!$C$39:$C$117, -1)+37)
            ))
        )
        *
        (INDEX('Data input'!$C:$C, MATCH(B87+0.00001, 'Data input'!$C$39:$C$117, -1)+36) - B87)
    ),
    ""
))/gammacu</f>
        <v>0</v>
      </c>
      <c r="R87" s="84">
        <f t="shared" si="5"/>
        <v>1</v>
      </c>
      <c r="S87" s="84">
        <f t="shared" si="6"/>
        <v>9</v>
      </c>
      <c r="T87" s="84">
        <f t="shared" si="7"/>
        <v>12.313900128532985</v>
      </c>
      <c r="U87" s="84">
        <f t="shared" si="8"/>
        <v>0</v>
      </c>
      <c r="V87" s="84">
        <f t="shared" si="9"/>
        <v>0</v>
      </c>
      <c r="W87" s="84">
        <f t="shared" si="10"/>
        <v>0</v>
      </c>
      <c r="X87" s="84">
        <f t="shared" si="11"/>
        <v>0</v>
      </c>
      <c r="Y87" s="84">
        <f t="shared" si="12"/>
        <v>0</v>
      </c>
      <c r="Z87" s="84">
        <f t="shared" si="13"/>
        <v>0</v>
      </c>
      <c r="AA87" s="84">
        <f t="shared" si="14"/>
        <v>380.00704737822139</v>
      </c>
      <c r="AB87" s="84">
        <f t="shared" si="15"/>
        <v>29.468540846816506</v>
      </c>
      <c r="AC87" s="84">
        <f t="shared" si="16"/>
        <v>19.743922367367059</v>
      </c>
      <c r="AD87" s="84">
        <f t="shared" si="17"/>
        <v>1436.5395889946581</v>
      </c>
      <c r="AE87" s="84">
        <f t="shared" si="18"/>
        <v>770.32017124721392</v>
      </c>
      <c r="AF87" s="84">
        <f t="shared" si="19"/>
        <v>1624.6879989755466</v>
      </c>
      <c r="AG87" s="84">
        <f t="shared" si="20"/>
        <v>1824.9975991554286</v>
      </c>
      <c r="AH87" s="84">
        <f t="shared" si="21"/>
        <v>896.12156211385491</v>
      </c>
    </row>
    <row r="88" spans="1:34" ht="14.1" customHeight="1" x14ac:dyDescent="0.2">
      <c r="A88" s="84">
        <f t="shared" si="27"/>
        <v>-11</v>
      </c>
      <c r="B88" s="84">
        <f t="shared" si="22"/>
        <v>-12</v>
      </c>
      <c r="C88" s="84">
        <f t="shared" si="0"/>
        <v>597.15393159434802</v>
      </c>
      <c r="D88" s="41" t="str">
        <f>INDEX('Data input'!D:D, MATCH(A88, 'Data input'!C:C, -1))</f>
        <v>CLAY</v>
      </c>
      <c r="E88" s="84">
        <f>INDEX('Data input'!H:H, MATCH(A88, 'Data input'!C:C, -1))/gammagamma</f>
        <v>20</v>
      </c>
      <c r="F88" s="91">
        <f>INDEX('Data input'!G:G, MATCH(A88, 'Data input'!C:C, -1))/gammaPhi</f>
        <v>24</v>
      </c>
      <c r="G88" s="84">
        <f t="shared" si="1"/>
        <v>161.86500000000001</v>
      </c>
      <c r="H88" s="84">
        <f t="shared" si="2"/>
        <v>166.77</v>
      </c>
      <c r="I88" s="84">
        <f t="shared" si="3"/>
        <v>283.62</v>
      </c>
      <c r="J88" s="84">
        <f t="shared" si="4"/>
        <v>293.62</v>
      </c>
      <c r="K88" s="84">
        <f t="shared" si="23"/>
        <v>121.755</v>
      </c>
      <c r="L88" s="84">
        <f t="shared" si="24"/>
        <v>126.85</v>
      </c>
      <c r="M88" s="91">
        <f t="shared" si="25"/>
        <v>24</v>
      </c>
      <c r="N88" s="84">
        <f>IF(ISNUMBER(INDEX('Data input'!I:I, MATCH(A88, 'Data input'!C:C, -1))),INDEX('Data input'!I:I, MATCH(A88, 'Data input'!C:C, -1)),1-SIN(RADIANS(F88)))</f>
        <v>0.59326335692419985</v>
      </c>
      <c r="O88" s="84">
        <f t="shared" si="26"/>
        <v>0.26413786444509035</v>
      </c>
      <c r="P88" s="84" cm="1">
        <f t="array" ref="P88">(IFERROR(
    IF(
        OR(
            INDEX('Data input'!$D:$D, MATCH((A88+B88)/2, 'Data input'!$C$39:$C$117, -1)+36)&lt;&gt;"CLAY",
            INDEX('Data input'!$E:$E, MATCH((A88+B88)/2, 'Data input'!$C$39:$C$117, -1)+36)=0
        ),
        0,
        INDEX('Data input'!$E:$E, MATCH((A88+B88)/2, 'Data input'!$C$39:$C$117, -1)+36)
        +
        (
            (INDEX('Data input'!$F:$F, MATCH((A88+B88)/2, 'Data input'!$C$39:$C$117, -1)+36)
            -
            INDEX('Data input'!$E:$E, MATCH((A88+B88)/2, 'Data input'!$C$39:$C$117, -1)+36))
            /
            (INDEX('Data input'!$C:$C, MATCH((A88+B88)/2, 'Data input'!$C$39:$C$117, -1)+36)
            -
            IF(
                MATCH((A88+B88)/2, 'Data input'!$C$39:$C$117, -1)+36=41,
                -1000,
                INDEX('Data input'!$C:$C, MATCH((A88+B88)/2, 'Data input'!$C$39:$C$117, -1)+37)
            ))
        )
        *
        (INDEX('Data input'!$C:$C, MATCH((A88+B88)/2, 'Data input'!$C$39:$C$117, -1)+36) - (A88+B88)/2)
    ),
    ""
))/gammacu</f>
        <v>0</v>
      </c>
      <c r="Q88" s="84" cm="1">
        <f t="array" ref="Q88">(IFERROR(
    IF(
        OR(
            INDEX('Data input'!$D:$D, MATCH(B88+0.00001, 'Data input'!$C$39:$C$117, -1)+36)&lt;&gt;"CLAY",
            INDEX('Data input'!$E:$E, MATCH(B88+0.00001, 'Data input'!$C$39:$C$117, -1)+36)=0
        ),
        0,
        INDEX('Data input'!$E:$E, MATCH(B88+0.00001, 'Data input'!$C$39:$C$117, -1)+36)
        +
        (
            (INDEX('Data input'!$F:$F, MATCH(B88+0.00001, 'Data input'!$C$39:$C$117, -1)+36)
            -
            INDEX('Data input'!$E:$E, MATCH(B88+0.00001, 'Data input'!$C$39:$C$117, -1)+36))
            /
            (INDEX('Data input'!$C:$C, MATCH(B88+0.00001, 'Data input'!$C$39:$C$117, -1)+36)
            -
            IF(
                MATCH(B88+0.00001, 'Data input'!$C$39:$C$117, -1)+36=41,
                -1000,
                INDEX('Data input'!$C:$C, MATCH(B88+0.00001, 'Data input'!$C$39:$C$117, -1)+37)
            ))
        )
        *
        (INDEX('Data input'!$C:$C, MATCH(B88+0.00001, 'Data input'!$C$39:$C$117, -1)+36) - B88)
    ),
    ""
))/gammacu</f>
        <v>0</v>
      </c>
      <c r="R88" s="84">
        <f t="shared" si="5"/>
        <v>1</v>
      </c>
      <c r="S88" s="84">
        <f t="shared" si="6"/>
        <v>9</v>
      </c>
      <c r="T88" s="84">
        <f t="shared" si="7"/>
        <v>12.313900128532985</v>
      </c>
      <c r="U88" s="84">
        <f t="shared" si="8"/>
        <v>0</v>
      </c>
      <c r="V88" s="84">
        <f t="shared" si="9"/>
        <v>0</v>
      </c>
      <c r="W88" s="84">
        <f t="shared" si="10"/>
        <v>0</v>
      </c>
      <c r="X88" s="84">
        <f t="shared" si="11"/>
        <v>0</v>
      </c>
      <c r="Y88" s="84">
        <f t="shared" si="12"/>
        <v>0</v>
      </c>
      <c r="Z88" s="84">
        <f t="shared" si="13"/>
        <v>0</v>
      </c>
      <c r="AA88" s="84">
        <f t="shared" si="14"/>
        <v>407.15040790523722</v>
      </c>
      <c r="AB88" s="84">
        <f t="shared" si="15"/>
        <v>32.160105685511972</v>
      </c>
      <c r="AC88" s="84">
        <f t="shared" si="16"/>
        <v>21.547270809293021</v>
      </c>
      <c r="AD88" s="84">
        <f t="shared" si="17"/>
        <v>1562.018231304409</v>
      </c>
      <c r="AE88" s="84">
        <f t="shared" si="18"/>
        <v>891.56091335954488</v>
      </c>
      <c r="AF88" s="84">
        <f t="shared" si="19"/>
        <v>1766.6010000861313</v>
      </c>
      <c r="AG88" s="84">
        <f t="shared" si="20"/>
        <v>2061.0079818513277</v>
      </c>
      <c r="AH88" s="84">
        <f t="shared" si="21"/>
        <v>1004.4962198561325</v>
      </c>
    </row>
    <row r="89" spans="1:34" ht="14.1" customHeight="1" x14ac:dyDescent="0.2">
      <c r="A89" s="84">
        <f t="shared" si="27"/>
        <v>-12</v>
      </c>
      <c r="B89" s="84">
        <f t="shared" si="22"/>
        <v>-13</v>
      </c>
      <c r="C89" s="84">
        <f t="shared" si="0"/>
        <v>624.29729212136385</v>
      </c>
      <c r="D89" s="41" t="str">
        <f>INDEX('Data input'!D:D, MATCH(A89, 'Data input'!C:C, -1))</f>
        <v>CLAY</v>
      </c>
      <c r="E89" s="84">
        <f>INDEX('Data input'!H:H, MATCH(A89, 'Data input'!C:C, -1))/gammagamma</f>
        <v>20</v>
      </c>
      <c r="F89" s="91">
        <f>INDEX('Data input'!G:G, MATCH(A89, 'Data input'!C:C, -1))/gammaPhi</f>
        <v>24</v>
      </c>
      <c r="G89" s="84">
        <f t="shared" si="1"/>
        <v>171.67500000000001</v>
      </c>
      <c r="H89" s="84">
        <f t="shared" si="2"/>
        <v>176.58</v>
      </c>
      <c r="I89" s="84">
        <f t="shared" si="3"/>
        <v>303.62</v>
      </c>
      <c r="J89" s="84">
        <f t="shared" si="4"/>
        <v>313.62</v>
      </c>
      <c r="K89" s="84">
        <f t="shared" si="23"/>
        <v>131.94499999999999</v>
      </c>
      <c r="L89" s="84">
        <f t="shared" si="24"/>
        <v>137.04</v>
      </c>
      <c r="M89" s="91">
        <f t="shared" si="25"/>
        <v>24</v>
      </c>
      <c r="N89" s="84">
        <f>IF(ISNUMBER(INDEX('Data input'!I:I, MATCH(A89, 'Data input'!C:C, -1))),INDEX('Data input'!I:I, MATCH(A89, 'Data input'!C:C, -1)),1-SIN(RADIANS(F89)))</f>
        <v>0.59326335692419985</v>
      </c>
      <c r="O89" s="84">
        <f t="shared" si="26"/>
        <v>0.26413786444509035</v>
      </c>
      <c r="P89" s="84" cm="1">
        <f t="array" ref="P89">(IFERROR(
    IF(
        OR(
            INDEX('Data input'!$D:$D, MATCH((A89+B89)/2, 'Data input'!$C$39:$C$117, -1)+36)&lt;&gt;"CLAY",
            INDEX('Data input'!$E:$E, MATCH((A89+B89)/2, 'Data input'!$C$39:$C$117, -1)+36)=0
        ),
        0,
        INDEX('Data input'!$E:$E, MATCH((A89+B89)/2, 'Data input'!$C$39:$C$117, -1)+36)
        +
        (
            (INDEX('Data input'!$F:$F, MATCH((A89+B89)/2, 'Data input'!$C$39:$C$117, -1)+36)
            -
            INDEX('Data input'!$E:$E, MATCH((A89+B89)/2, 'Data input'!$C$39:$C$117, -1)+36))
            /
            (INDEX('Data input'!$C:$C, MATCH((A89+B89)/2, 'Data input'!$C$39:$C$117, -1)+36)
            -
            IF(
                MATCH((A89+B89)/2, 'Data input'!$C$39:$C$117, -1)+36=41,
                -1000,
                INDEX('Data input'!$C:$C, MATCH((A89+B89)/2, 'Data input'!$C$39:$C$117, -1)+37)
            ))
        )
        *
        (INDEX('Data input'!$C:$C, MATCH((A89+B89)/2, 'Data input'!$C$39:$C$117, -1)+36) - (A89+B89)/2)
    ),
    ""
))/gammacu</f>
        <v>0</v>
      </c>
      <c r="Q89" s="84" cm="1">
        <f t="array" ref="Q89">(IFERROR(
    IF(
        OR(
            INDEX('Data input'!$D:$D, MATCH(B89+0.00001, 'Data input'!$C$39:$C$117, -1)+36)&lt;&gt;"CLAY",
            INDEX('Data input'!$E:$E, MATCH(B89+0.00001, 'Data input'!$C$39:$C$117, -1)+36)=0
        ),
        0,
        INDEX('Data input'!$E:$E, MATCH(B89+0.00001, 'Data input'!$C$39:$C$117, -1)+36)
        +
        (
            (INDEX('Data input'!$F:$F, MATCH(B89+0.00001, 'Data input'!$C$39:$C$117, -1)+36)
            -
            INDEX('Data input'!$E:$E, MATCH(B89+0.00001, 'Data input'!$C$39:$C$117, -1)+36))
            /
            (INDEX('Data input'!$C:$C, MATCH(B89+0.00001, 'Data input'!$C$39:$C$117, -1)+36)
            -
            IF(
                MATCH(B89+0.00001, 'Data input'!$C$39:$C$117, -1)+36=41,
                -1000,
                INDEX('Data input'!$C:$C, MATCH(B89+0.00001, 'Data input'!$C$39:$C$117, -1)+37)
            ))
        )
        *
        (INDEX('Data input'!$C:$C, MATCH(B89+0.00001, 'Data input'!$C$39:$C$117, -1)+36) - B89)
    ),
    ""
))/gammacu</f>
        <v>0</v>
      </c>
      <c r="R89" s="84">
        <f t="shared" si="5"/>
        <v>1</v>
      </c>
      <c r="S89" s="84">
        <f t="shared" si="6"/>
        <v>9</v>
      </c>
      <c r="T89" s="84">
        <f t="shared" si="7"/>
        <v>12.313900128532985</v>
      </c>
      <c r="U89" s="84">
        <f t="shared" si="8"/>
        <v>0</v>
      </c>
      <c r="V89" s="84">
        <f t="shared" si="9"/>
        <v>0</v>
      </c>
      <c r="W89" s="84">
        <f t="shared" si="10"/>
        <v>0</v>
      </c>
      <c r="X89" s="84">
        <f t="shared" si="11"/>
        <v>0</v>
      </c>
      <c r="Y89" s="84">
        <f t="shared" si="12"/>
        <v>0</v>
      </c>
      <c r="Z89" s="84">
        <f t="shared" si="13"/>
        <v>0</v>
      </c>
      <c r="AA89" s="84">
        <f t="shared" si="14"/>
        <v>434.29376843225305</v>
      </c>
      <c r="AB89" s="84">
        <f t="shared" si="15"/>
        <v>34.851670524207442</v>
      </c>
      <c r="AC89" s="84">
        <f t="shared" si="16"/>
        <v>23.350619251218987</v>
      </c>
      <c r="AD89" s="84">
        <f t="shared" si="17"/>
        <v>1687.4968736141602</v>
      </c>
      <c r="AE89" s="84">
        <f t="shared" si="18"/>
        <v>1022.9486158605633</v>
      </c>
      <c r="AF89" s="84">
        <f t="shared" si="19"/>
        <v>1908.514001196716</v>
      </c>
      <c r="AG89" s="84">
        <f t="shared" si="20"/>
        <v>2307.1653249359151</v>
      </c>
      <c r="AH89" s="84">
        <f t="shared" si="21"/>
        <v>1119.6693410588307</v>
      </c>
    </row>
    <row r="90" spans="1:34" ht="14.1" customHeight="1" x14ac:dyDescent="0.2">
      <c r="A90" s="84">
        <f t="shared" si="27"/>
        <v>-13</v>
      </c>
      <c r="B90" s="84">
        <f t="shared" si="22"/>
        <v>-14</v>
      </c>
      <c r="C90" s="84">
        <f t="shared" si="0"/>
        <v>651.44065264837968</v>
      </c>
      <c r="D90" s="41" t="str">
        <f>INDEX('Data input'!D:D, MATCH(A90, 'Data input'!C:C, -1))</f>
        <v>CLAY</v>
      </c>
      <c r="E90" s="84">
        <f>INDEX('Data input'!H:H, MATCH(A90, 'Data input'!C:C, -1))/gammagamma</f>
        <v>20</v>
      </c>
      <c r="F90" s="91">
        <f>INDEX('Data input'!G:G, MATCH(A90, 'Data input'!C:C, -1))/gammaPhi</f>
        <v>24</v>
      </c>
      <c r="G90" s="84">
        <f t="shared" si="1"/>
        <v>181.48500000000001</v>
      </c>
      <c r="H90" s="84">
        <f t="shared" si="2"/>
        <v>186.39000000000001</v>
      </c>
      <c r="I90" s="84">
        <f t="shared" si="3"/>
        <v>323.62</v>
      </c>
      <c r="J90" s="84">
        <f t="shared" si="4"/>
        <v>333.62</v>
      </c>
      <c r="K90" s="84">
        <f t="shared" si="23"/>
        <v>142.13499999999999</v>
      </c>
      <c r="L90" s="84">
        <f t="shared" si="24"/>
        <v>147.22999999999999</v>
      </c>
      <c r="M90" s="91">
        <f t="shared" si="25"/>
        <v>24</v>
      </c>
      <c r="N90" s="84">
        <f>IF(ISNUMBER(INDEX('Data input'!I:I, MATCH(A90, 'Data input'!C:C, -1))),INDEX('Data input'!I:I, MATCH(A90, 'Data input'!C:C, -1)),1-SIN(RADIANS(F90)))</f>
        <v>0.59326335692419985</v>
      </c>
      <c r="O90" s="84">
        <f t="shared" si="26"/>
        <v>0.26413786444509035</v>
      </c>
      <c r="P90" s="84" cm="1">
        <f t="array" ref="P90">(IFERROR(
    IF(
        OR(
            INDEX('Data input'!$D:$D, MATCH((A90+B90)/2, 'Data input'!$C$39:$C$117, -1)+36)&lt;&gt;"CLAY",
            INDEX('Data input'!$E:$E, MATCH((A90+B90)/2, 'Data input'!$C$39:$C$117, -1)+36)=0
        ),
        0,
        INDEX('Data input'!$E:$E, MATCH((A90+B90)/2, 'Data input'!$C$39:$C$117, -1)+36)
        +
        (
            (INDEX('Data input'!$F:$F, MATCH((A90+B90)/2, 'Data input'!$C$39:$C$117, -1)+36)
            -
            INDEX('Data input'!$E:$E, MATCH((A90+B90)/2, 'Data input'!$C$39:$C$117, -1)+36))
            /
            (INDEX('Data input'!$C:$C, MATCH((A90+B90)/2, 'Data input'!$C$39:$C$117, -1)+36)
            -
            IF(
                MATCH((A90+B90)/2, 'Data input'!$C$39:$C$117, -1)+36=41,
                -1000,
                INDEX('Data input'!$C:$C, MATCH((A90+B90)/2, 'Data input'!$C$39:$C$117, -1)+37)
            ))
        )
        *
        (INDEX('Data input'!$C:$C, MATCH((A90+B90)/2, 'Data input'!$C$39:$C$117, -1)+36) - (A90+B90)/2)
    ),
    ""
))/gammacu</f>
        <v>0</v>
      </c>
      <c r="Q90" s="84" cm="1">
        <f t="array" ref="Q90">(IFERROR(
    IF(
        OR(
            INDEX('Data input'!$D:$D, MATCH(B90+0.00001, 'Data input'!$C$39:$C$117, -1)+36)&lt;&gt;"CLAY",
            INDEX('Data input'!$E:$E, MATCH(B90+0.00001, 'Data input'!$C$39:$C$117, -1)+36)=0
        ),
        0,
        INDEX('Data input'!$E:$E, MATCH(B90+0.00001, 'Data input'!$C$39:$C$117, -1)+36)
        +
        (
            (INDEX('Data input'!$F:$F, MATCH(B90+0.00001, 'Data input'!$C$39:$C$117, -1)+36)
            -
            INDEX('Data input'!$E:$E, MATCH(B90+0.00001, 'Data input'!$C$39:$C$117, -1)+36))
            /
            (INDEX('Data input'!$C:$C, MATCH(B90+0.00001, 'Data input'!$C$39:$C$117, -1)+36)
            -
            IF(
                MATCH(B90+0.00001, 'Data input'!$C$39:$C$117, -1)+36=41,
                -1000,
                INDEX('Data input'!$C:$C, MATCH(B90+0.00001, 'Data input'!$C$39:$C$117, -1)+37)
            ))
        )
        *
        (INDEX('Data input'!$C:$C, MATCH(B90+0.00001, 'Data input'!$C$39:$C$117, -1)+36) - B90)
    ),
    ""
))/gammacu</f>
        <v>0</v>
      </c>
      <c r="R90" s="84">
        <f t="shared" si="5"/>
        <v>1</v>
      </c>
      <c r="S90" s="84">
        <f t="shared" si="6"/>
        <v>9</v>
      </c>
      <c r="T90" s="84">
        <f t="shared" si="7"/>
        <v>12.313900128532985</v>
      </c>
      <c r="U90" s="84">
        <f t="shared" si="8"/>
        <v>0</v>
      </c>
      <c r="V90" s="84">
        <f t="shared" si="9"/>
        <v>0</v>
      </c>
      <c r="W90" s="84">
        <f t="shared" si="10"/>
        <v>0</v>
      </c>
      <c r="X90" s="84">
        <f t="shared" si="11"/>
        <v>0</v>
      </c>
      <c r="Y90" s="84">
        <f t="shared" si="12"/>
        <v>0</v>
      </c>
      <c r="Z90" s="84">
        <f t="shared" si="13"/>
        <v>0</v>
      </c>
      <c r="AA90" s="84">
        <f t="shared" si="14"/>
        <v>461.43712895926888</v>
      </c>
      <c r="AB90" s="84">
        <f t="shared" si="15"/>
        <v>37.543235362902912</v>
      </c>
      <c r="AC90" s="84">
        <f t="shared" si="16"/>
        <v>25.153967693144953</v>
      </c>
      <c r="AD90" s="84">
        <f t="shared" si="17"/>
        <v>1812.9755159239114</v>
      </c>
      <c r="AE90" s="84">
        <f t="shared" si="18"/>
        <v>1164.4832787502694</v>
      </c>
      <c r="AF90" s="84">
        <f t="shared" si="19"/>
        <v>2050.4270023073013</v>
      </c>
      <c r="AG90" s="84">
        <f t="shared" si="20"/>
        <v>2563.4696284091906</v>
      </c>
      <c r="AH90" s="84">
        <f t="shared" si="21"/>
        <v>1241.6409257219495</v>
      </c>
    </row>
    <row r="91" spans="1:34" ht="14.1" customHeight="1" x14ac:dyDescent="0.2">
      <c r="A91" s="84">
        <f t="shared" si="27"/>
        <v>-14</v>
      </c>
      <c r="B91" s="84">
        <f t="shared" si="22"/>
        <v>-15</v>
      </c>
      <c r="C91" s="84">
        <f t="shared" si="0"/>
        <v>678.58401317539551</v>
      </c>
      <c r="D91" s="41" t="str">
        <f>INDEX('Data input'!D:D, MATCH(A91, 'Data input'!C:C, -1))</f>
        <v>CLAY</v>
      </c>
      <c r="E91" s="84">
        <f>INDEX('Data input'!H:H, MATCH(A91, 'Data input'!C:C, -1))/gammagamma</f>
        <v>20</v>
      </c>
      <c r="F91" s="91">
        <f>INDEX('Data input'!G:G, MATCH(A91, 'Data input'!C:C, -1))/gammaPhi</f>
        <v>24</v>
      </c>
      <c r="G91" s="84">
        <f t="shared" si="1"/>
        <v>191.29500000000002</v>
      </c>
      <c r="H91" s="84">
        <f t="shared" si="2"/>
        <v>196.20000000000002</v>
      </c>
      <c r="I91" s="84">
        <f t="shared" si="3"/>
        <v>343.62</v>
      </c>
      <c r="J91" s="84">
        <f t="shared" si="4"/>
        <v>353.62</v>
      </c>
      <c r="K91" s="84">
        <f t="shared" si="23"/>
        <v>152.32499999999999</v>
      </c>
      <c r="L91" s="84">
        <f t="shared" si="24"/>
        <v>157.41999999999999</v>
      </c>
      <c r="M91" s="91">
        <f t="shared" si="25"/>
        <v>24</v>
      </c>
      <c r="N91" s="84">
        <f>IF(ISNUMBER(INDEX('Data input'!I:I, MATCH(A91, 'Data input'!C:C, -1))),INDEX('Data input'!I:I, MATCH(A91, 'Data input'!C:C, -1)),1-SIN(RADIANS(F91)))</f>
        <v>0.59326335692419985</v>
      </c>
      <c r="O91" s="84">
        <f t="shared" si="26"/>
        <v>0.26413786444509035</v>
      </c>
      <c r="P91" s="84" cm="1">
        <f t="array" ref="P91">(IFERROR(
    IF(
        OR(
            INDEX('Data input'!$D:$D, MATCH((A91+B91)/2, 'Data input'!$C$39:$C$117, -1)+36)&lt;&gt;"CLAY",
            INDEX('Data input'!$E:$E, MATCH((A91+B91)/2, 'Data input'!$C$39:$C$117, -1)+36)=0
        ),
        0,
        INDEX('Data input'!$E:$E, MATCH((A91+B91)/2, 'Data input'!$C$39:$C$117, -1)+36)
        +
        (
            (INDEX('Data input'!$F:$F, MATCH((A91+B91)/2, 'Data input'!$C$39:$C$117, -1)+36)
            -
            INDEX('Data input'!$E:$E, MATCH((A91+B91)/2, 'Data input'!$C$39:$C$117, -1)+36))
            /
            (INDEX('Data input'!$C:$C, MATCH((A91+B91)/2, 'Data input'!$C$39:$C$117, -1)+36)
            -
            IF(
                MATCH((A91+B91)/2, 'Data input'!$C$39:$C$117, -1)+36=41,
                -1000,
                INDEX('Data input'!$C:$C, MATCH((A91+B91)/2, 'Data input'!$C$39:$C$117, -1)+37)
            ))
        )
        *
        (INDEX('Data input'!$C:$C, MATCH((A91+B91)/2, 'Data input'!$C$39:$C$117, -1)+36) - (A91+B91)/2)
    ),
    ""
))/gammacu</f>
        <v>0</v>
      </c>
      <c r="Q91" s="84" cm="1">
        <f t="array" ref="Q91">(IFERROR(
    IF(
        OR(
            INDEX('Data input'!$D:$D, MATCH(B91+0.00001, 'Data input'!$C$39:$C$117, -1)+36)&lt;&gt;"CLAY",
            INDEX('Data input'!$E:$E, MATCH(B91+0.00001, 'Data input'!$C$39:$C$117, -1)+36)=0
        ),
        0,
        INDEX('Data input'!$E:$E, MATCH(B91+0.00001, 'Data input'!$C$39:$C$117, -1)+36)
        +
        (
            (INDEX('Data input'!$F:$F, MATCH(B91+0.00001, 'Data input'!$C$39:$C$117, -1)+36)
            -
            INDEX('Data input'!$E:$E, MATCH(B91+0.00001, 'Data input'!$C$39:$C$117, -1)+36))
            /
            (INDEX('Data input'!$C:$C, MATCH(B91+0.00001, 'Data input'!$C$39:$C$117, -1)+36)
            -
            IF(
                MATCH(B91+0.00001, 'Data input'!$C$39:$C$117, -1)+36=41,
                -1000,
                INDEX('Data input'!$C:$C, MATCH(B91+0.00001, 'Data input'!$C$39:$C$117, -1)+37)
            ))
        )
        *
        (INDEX('Data input'!$C:$C, MATCH(B91+0.00001, 'Data input'!$C$39:$C$117, -1)+36) - B91)
    ),
    ""
))/gammacu</f>
        <v>0</v>
      </c>
      <c r="R91" s="84">
        <f t="shared" si="5"/>
        <v>1</v>
      </c>
      <c r="S91" s="84">
        <f t="shared" si="6"/>
        <v>9</v>
      </c>
      <c r="T91" s="84">
        <f t="shared" si="7"/>
        <v>12.313900128532985</v>
      </c>
      <c r="U91" s="84">
        <f t="shared" si="8"/>
        <v>0</v>
      </c>
      <c r="V91" s="84">
        <f t="shared" si="9"/>
        <v>0</v>
      </c>
      <c r="W91" s="84">
        <f t="shared" si="10"/>
        <v>0</v>
      </c>
      <c r="X91" s="84">
        <f t="shared" si="11"/>
        <v>0</v>
      </c>
      <c r="Y91" s="84">
        <f t="shared" si="12"/>
        <v>0</v>
      </c>
      <c r="Z91" s="84">
        <f t="shared" si="13"/>
        <v>0</v>
      </c>
      <c r="AA91" s="84">
        <f t="shared" si="14"/>
        <v>488.5804894862847</v>
      </c>
      <c r="AB91" s="84">
        <f t="shared" si="15"/>
        <v>40.234800201598382</v>
      </c>
      <c r="AC91" s="84">
        <f t="shared" si="16"/>
        <v>26.957316135070919</v>
      </c>
      <c r="AD91" s="84">
        <f t="shared" si="17"/>
        <v>1938.4541582336624</v>
      </c>
      <c r="AE91" s="84">
        <f t="shared" si="18"/>
        <v>1316.1649020286629</v>
      </c>
      <c r="AF91" s="84">
        <f t="shared" si="19"/>
        <v>2192.3400034178853</v>
      </c>
      <c r="AG91" s="84">
        <f t="shared" si="20"/>
        <v>2829.9208922711523</v>
      </c>
      <c r="AH91" s="84">
        <f t="shared" si="21"/>
        <v>1370.410973845489</v>
      </c>
    </row>
    <row r="92" spans="1:34" ht="14.1" customHeight="1" x14ac:dyDescent="0.2">
      <c r="A92" s="84">
        <f t="shared" si="27"/>
        <v>-15</v>
      </c>
      <c r="B92" s="84">
        <f t="shared" si="22"/>
        <v>-16</v>
      </c>
      <c r="C92" s="84">
        <f t="shared" si="0"/>
        <v>705.72737370241134</v>
      </c>
      <c r="D92" s="41" t="str">
        <f>INDEX('Data input'!D:D, MATCH(A92, 'Data input'!C:C, -1))</f>
        <v>SAND</v>
      </c>
      <c r="E92" s="84">
        <f>INDEX('Data input'!H:H, MATCH(A92, 'Data input'!C:C, -1))/gammagamma</f>
        <v>18</v>
      </c>
      <c r="F92" s="91">
        <f>INDEX('Data input'!G:G, MATCH(A92, 'Data input'!C:C, -1))/gammaPhi</f>
        <v>30</v>
      </c>
      <c r="G92" s="84">
        <f t="shared" si="1"/>
        <v>201.10500000000002</v>
      </c>
      <c r="H92" s="84">
        <f t="shared" si="2"/>
        <v>206.01000000000002</v>
      </c>
      <c r="I92" s="84">
        <f t="shared" si="3"/>
        <v>362.62</v>
      </c>
      <c r="J92" s="84">
        <f t="shared" si="4"/>
        <v>371.62</v>
      </c>
      <c r="K92" s="84">
        <f t="shared" si="23"/>
        <v>161.51499999999999</v>
      </c>
      <c r="L92" s="84">
        <f t="shared" si="24"/>
        <v>165.60999999999999</v>
      </c>
      <c r="M92" s="91">
        <f t="shared" si="25"/>
        <v>30</v>
      </c>
      <c r="N92" s="84">
        <f>IF(ISNUMBER(INDEX('Data input'!I:I, MATCH(A92, 'Data input'!C:C, -1))),INDEX('Data input'!I:I, MATCH(A92, 'Data input'!C:C, -1)),1-SIN(RADIANS(F92)))</f>
        <v>0.5</v>
      </c>
      <c r="O92" s="84">
        <f t="shared" si="26"/>
        <v>0.28867513459481287</v>
      </c>
      <c r="P92" s="84" cm="1">
        <f t="array" ref="P92">(IFERROR(
    IF(
        OR(
            INDEX('Data input'!$D:$D, MATCH((A92+B92)/2, 'Data input'!$C$39:$C$117, -1)+36)&lt;&gt;"CLAY",
            INDEX('Data input'!$E:$E, MATCH((A92+B92)/2, 'Data input'!$C$39:$C$117, -1)+36)=0
        ),
        0,
        INDEX('Data input'!$E:$E, MATCH((A92+B92)/2, 'Data input'!$C$39:$C$117, -1)+36)
        +
        (
            (INDEX('Data input'!$F:$F, MATCH((A92+B92)/2, 'Data input'!$C$39:$C$117, -1)+36)
            -
            INDEX('Data input'!$E:$E, MATCH((A92+B92)/2, 'Data input'!$C$39:$C$117, -1)+36))
            /
            (INDEX('Data input'!$C:$C, MATCH((A92+B92)/2, 'Data input'!$C$39:$C$117, -1)+36)
            -
            IF(
                MATCH((A92+B92)/2, 'Data input'!$C$39:$C$117, -1)+36=41,
                -1000,
                INDEX('Data input'!$C:$C, MATCH((A92+B92)/2, 'Data input'!$C$39:$C$117, -1)+37)
            ))
        )
        *
        (INDEX('Data input'!$C:$C, MATCH((A92+B92)/2, 'Data input'!$C$39:$C$117, -1)+36) - (A92+B92)/2)
    ),
    ""
))/gammacu</f>
        <v>73.235294117647058</v>
      </c>
      <c r="Q92" s="84" cm="1">
        <f t="array" ref="Q92">(IFERROR(
    IF(
        OR(
            INDEX('Data input'!$D:$D, MATCH(B92+0.00001, 'Data input'!$C$39:$C$117, -1)+36)&lt;&gt;"CLAY",
            INDEX('Data input'!$E:$E, MATCH(B92+0.00001, 'Data input'!$C$39:$C$117, -1)+36)=0
        ),
        0,
        INDEX('Data input'!$E:$E, MATCH(B92+0.00001, 'Data input'!$C$39:$C$117, -1)+36)
        +
        (
            (INDEX('Data input'!$F:$F, MATCH(B92+0.00001, 'Data input'!$C$39:$C$117, -1)+36)
            -
            INDEX('Data input'!$E:$E, MATCH(B92+0.00001, 'Data input'!$C$39:$C$117, -1)+36))
            /
            (INDEX('Data input'!$C:$C, MATCH(B92+0.00001, 'Data input'!$C$39:$C$117, -1)+36)
            -
            IF(
                MATCH(B92+0.00001, 'Data input'!$C$39:$C$117, -1)+36=41,
                -1000,
                INDEX('Data input'!$C:$C, MATCH(B92+0.00001, 'Data input'!$C$39:$C$117, -1)+37)
            ))
        )
        *
        (INDEX('Data input'!$C:$C, MATCH(B92+0.00001, 'Data input'!$C$39:$C$117, -1)+36) - B92)
    ),
    ""
))/gammacu</f>
        <v>73.529411764705884</v>
      </c>
      <c r="R92" s="84" t="str">
        <f t="shared" si="5"/>
        <v>-</v>
      </c>
      <c r="S92" s="84" t="str">
        <f t="shared" si="6"/>
        <v>-</v>
      </c>
      <c r="T92" s="84">
        <f t="shared" si="7"/>
        <v>35.613640196313952</v>
      </c>
      <c r="U92" s="84">
        <f t="shared" si="8"/>
        <v>46.625364364081193</v>
      </c>
      <c r="V92" s="84">
        <f t="shared" si="9"/>
        <v>31.2389941239344</v>
      </c>
      <c r="W92" s="84">
        <f t="shared" si="10"/>
        <v>4000</v>
      </c>
      <c r="X92" s="84">
        <f t="shared" si="11"/>
        <v>175.77348258857378</v>
      </c>
      <c r="Y92" s="84">
        <f t="shared" si="12"/>
        <v>4523.8934211693013</v>
      </c>
      <c r="Z92" s="84">
        <f t="shared" si="13"/>
        <v>3993.9395300554634</v>
      </c>
      <c r="AA92" s="84">
        <f t="shared" si="14"/>
        <v>633.49208334764501</v>
      </c>
      <c r="AB92" s="84">
        <f t="shared" si="15"/>
        <v>46.625364364081193</v>
      </c>
      <c r="AC92" s="84">
        <f t="shared" si="16"/>
        <v>31.2389941239344</v>
      </c>
      <c r="AD92" s="84">
        <f t="shared" si="17"/>
        <v>4000</v>
      </c>
      <c r="AE92" s="84">
        <f t="shared" si="18"/>
        <v>1491.9383846172368</v>
      </c>
      <c r="AF92" s="84">
        <f t="shared" si="19"/>
        <v>4523.8934211693013</v>
      </c>
      <c r="AG92" s="84">
        <f t="shared" si="20"/>
        <v>5310.1044320841265</v>
      </c>
      <c r="AH92" s="84">
        <f t="shared" si="21"/>
        <v>1515.3225677068492</v>
      </c>
    </row>
    <row r="93" spans="1:34" ht="14.1" customHeight="1" x14ac:dyDescent="0.2">
      <c r="A93" s="84">
        <f t="shared" si="27"/>
        <v>-16</v>
      </c>
      <c r="B93" s="84">
        <f t="shared" si="22"/>
        <v>-17</v>
      </c>
      <c r="C93" s="84">
        <f t="shared" si="0"/>
        <v>732.87073422942717</v>
      </c>
      <c r="D93" s="41" t="str">
        <f>INDEX('Data input'!D:D, MATCH(A93, 'Data input'!C:C, -1))</f>
        <v>SAND</v>
      </c>
      <c r="E93" s="84">
        <f>INDEX('Data input'!H:H, MATCH(A93, 'Data input'!C:C, -1))/gammagamma</f>
        <v>18</v>
      </c>
      <c r="F93" s="91">
        <f>INDEX('Data input'!G:G, MATCH(A93, 'Data input'!C:C, -1))/gammaPhi</f>
        <v>30</v>
      </c>
      <c r="G93" s="84">
        <f t="shared" si="1"/>
        <v>210.91500000000002</v>
      </c>
      <c r="H93" s="84">
        <f t="shared" si="2"/>
        <v>215.82000000000002</v>
      </c>
      <c r="I93" s="84">
        <f t="shared" si="3"/>
        <v>380.62</v>
      </c>
      <c r="J93" s="84">
        <f t="shared" si="4"/>
        <v>389.62</v>
      </c>
      <c r="K93" s="84">
        <f t="shared" si="23"/>
        <v>169.70499999999998</v>
      </c>
      <c r="L93" s="84">
        <f t="shared" si="24"/>
        <v>173.79999999999998</v>
      </c>
      <c r="M93" s="91">
        <f t="shared" si="25"/>
        <v>30</v>
      </c>
      <c r="N93" s="84">
        <f>IF(ISNUMBER(INDEX('Data input'!I:I, MATCH(A93, 'Data input'!C:C, -1))),INDEX('Data input'!I:I, MATCH(A93, 'Data input'!C:C, -1)),1-SIN(RADIANS(F93)))</f>
        <v>0.5</v>
      </c>
      <c r="O93" s="84">
        <f t="shared" si="26"/>
        <v>0.28867513459481287</v>
      </c>
      <c r="P93" s="84" cm="1">
        <f t="array" ref="P93">(IFERROR(
    IF(
        OR(
            INDEX('Data input'!$D:$D, MATCH((A93+B93)/2, 'Data input'!$C$39:$C$117, -1)+36)&lt;&gt;"CLAY",
            INDEX('Data input'!$E:$E, MATCH((A93+B93)/2, 'Data input'!$C$39:$C$117, -1)+36)=0
        ),
        0,
        INDEX('Data input'!$E:$E, MATCH((A93+B93)/2, 'Data input'!$C$39:$C$117, -1)+36)
        +
        (
            (INDEX('Data input'!$F:$F, MATCH((A93+B93)/2, 'Data input'!$C$39:$C$117, -1)+36)
            -
            INDEX('Data input'!$E:$E, MATCH((A93+B93)/2, 'Data input'!$C$39:$C$117, -1)+36))
            /
            (INDEX('Data input'!$C:$C, MATCH((A93+B93)/2, 'Data input'!$C$39:$C$117, -1)+36)
            -
            IF(
                MATCH((A93+B93)/2, 'Data input'!$C$39:$C$117, -1)+36=41,
                -1000,
                INDEX('Data input'!$C:$C, MATCH((A93+B93)/2, 'Data input'!$C$39:$C$117, -1)+37)
            ))
        )
        *
        (INDEX('Data input'!$C:$C, MATCH((A93+B93)/2, 'Data input'!$C$39:$C$117, -1)+36) - (A93+B93)/2)
    ),
    ""
))/gammacu</f>
        <v>73.82352941176471</v>
      </c>
      <c r="Q93" s="84" cm="1">
        <f t="array" ref="Q93">(IFERROR(
    IF(
        OR(
            INDEX('Data input'!$D:$D, MATCH(B93+0.00001, 'Data input'!$C$39:$C$117, -1)+36)&lt;&gt;"CLAY",
            INDEX('Data input'!$E:$E, MATCH(B93+0.00001, 'Data input'!$C$39:$C$117, -1)+36)=0
        ),
        0,
        INDEX('Data input'!$E:$E, MATCH(B93+0.00001, 'Data input'!$C$39:$C$117, -1)+36)
        +
        (
            (INDEX('Data input'!$F:$F, MATCH(B93+0.00001, 'Data input'!$C$39:$C$117, -1)+36)
            -
            INDEX('Data input'!$E:$E, MATCH(B93+0.00001, 'Data input'!$C$39:$C$117, -1)+36))
            /
            (INDEX('Data input'!$C:$C, MATCH(B93+0.00001, 'Data input'!$C$39:$C$117, -1)+36)
            -
            IF(
                MATCH(B93+0.00001, 'Data input'!$C$39:$C$117, -1)+36=41,
                -1000,
                INDEX('Data input'!$C:$C, MATCH(B93+0.00001, 'Data input'!$C$39:$C$117, -1)+37)
            ))
        )
        *
        (INDEX('Data input'!$C:$C, MATCH(B93+0.00001, 'Data input'!$C$39:$C$117, -1)+36) - B93)
    ),
    ""
))/gammacu</f>
        <v>74.117647058823536</v>
      </c>
      <c r="R93" s="84" t="str">
        <f t="shared" si="5"/>
        <v>-</v>
      </c>
      <c r="S93" s="84" t="str">
        <f t="shared" si="6"/>
        <v>-</v>
      </c>
      <c r="T93" s="84">
        <f t="shared" si="7"/>
        <v>35.613640196313952</v>
      </c>
      <c r="U93" s="84">
        <f t="shared" si="8"/>
        <v>48.989613716412713</v>
      </c>
      <c r="V93" s="84">
        <f t="shared" si="9"/>
        <v>32.823041189996516</v>
      </c>
      <c r="W93" s="84">
        <f t="shared" si="10"/>
        <v>4000</v>
      </c>
      <c r="X93" s="84">
        <f t="shared" si="11"/>
        <v>360.45997525299452</v>
      </c>
      <c r="Y93" s="84">
        <f t="shared" si="12"/>
        <v>4523.8934211693013</v>
      </c>
      <c r="Z93" s="84">
        <f t="shared" si="13"/>
        <v>4151.4826621928687</v>
      </c>
      <c r="AA93" s="84">
        <f t="shared" si="14"/>
        <v>784.37539395982276</v>
      </c>
      <c r="AB93" s="84">
        <f t="shared" si="15"/>
        <v>48.989613716412713</v>
      </c>
      <c r="AC93" s="84">
        <f t="shared" si="16"/>
        <v>32.823041189996516</v>
      </c>
      <c r="AD93" s="84">
        <f t="shared" si="17"/>
        <v>4000</v>
      </c>
      <c r="AE93" s="84">
        <f t="shared" si="18"/>
        <v>1676.6248772816575</v>
      </c>
      <c r="AF93" s="84">
        <f t="shared" si="19"/>
        <v>4523.8934211693013</v>
      </c>
      <c r="AG93" s="84">
        <f t="shared" si="20"/>
        <v>5467.6475642215319</v>
      </c>
      <c r="AH93" s="84">
        <f t="shared" si="21"/>
        <v>1666.2058783190269</v>
      </c>
    </row>
    <row r="94" spans="1:34" ht="14.1" customHeight="1" x14ac:dyDescent="0.2">
      <c r="A94" s="84">
        <f t="shared" si="27"/>
        <v>-17</v>
      </c>
      <c r="B94" s="84">
        <f t="shared" si="22"/>
        <v>-18</v>
      </c>
      <c r="C94" s="84">
        <f t="shared" si="0"/>
        <v>760.014094756443</v>
      </c>
      <c r="D94" s="41" t="str">
        <f>INDEX('Data input'!D:D, MATCH(A94, 'Data input'!C:C, -1))</f>
        <v>SAND</v>
      </c>
      <c r="E94" s="84">
        <f>INDEX('Data input'!H:H, MATCH(A94, 'Data input'!C:C, -1))/gammagamma</f>
        <v>18</v>
      </c>
      <c r="F94" s="91">
        <f>INDEX('Data input'!G:G, MATCH(A94, 'Data input'!C:C, -1))/gammaPhi</f>
        <v>30</v>
      </c>
      <c r="G94" s="84">
        <f t="shared" si="1"/>
        <v>220.72500000000002</v>
      </c>
      <c r="H94" s="84">
        <f t="shared" si="2"/>
        <v>225.63000000000002</v>
      </c>
      <c r="I94" s="84">
        <f t="shared" si="3"/>
        <v>398.62</v>
      </c>
      <c r="J94" s="84">
        <f t="shared" si="4"/>
        <v>407.62</v>
      </c>
      <c r="K94" s="84">
        <f t="shared" si="23"/>
        <v>177.89499999999998</v>
      </c>
      <c r="L94" s="84">
        <f t="shared" si="24"/>
        <v>181.98999999999998</v>
      </c>
      <c r="M94" s="91">
        <f t="shared" si="25"/>
        <v>30</v>
      </c>
      <c r="N94" s="84">
        <f>IF(ISNUMBER(INDEX('Data input'!I:I, MATCH(A94, 'Data input'!C:C, -1))),INDEX('Data input'!I:I, MATCH(A94, 'Data input'!C:C, -1)),1-SIN(RADIANS(F94)))</f>
        <v>0.5</v>
      </c>
      <c r="O94" s="84">
        <f t="shared" si="26"/>
        <v>0.28867513459481287</v>
      </c>
      <c r="P94" s="84" cm="1">
        <f t="array" ref="P94">(IFERROR(
    IF(
        OR(
            INDEX('Data input'!$D:$D, MATCH((A94+B94)/2, 'Data input'!$C$39:$C$117, -1)+36)&lt;&gt;"CLAY",
            INDEX('Data input'!$E:$E, MATCH((A94+B94)/2, 'Data input'!$C$39:$C$117, -1)+36)=0
        ),
        0,
        INDEX('Data input'!$E:$E, MATCH((A94+B94)/2, 'Data input'!$C$39:$C$117, -1)+36)
        +
        (
            (INDEX('Data input'!$F:$F, MATCH((A94+B94)/2, 'Data input'!$C$39:$C$117, -1)+36)
            -
            INDEX('Data input'!$E:$E, MATCH((A94+B94)/2, 'Data input'!$C$39:$C$117, -1)+36))
            /
            (INDEX('Data input'!$C:$C, MATCH((A94+B94)/2, 'Data input'!$C$39:$C$117, -1)+36)
            -
            IF(
                MATCH((A94+B94)/2, 'Data input'!$C$39:$C$117, -1)+36=41,
                -1000,
                INDEX('Data input'!$C:$C, MATCH((A94+B94)/2, 'Data input'!$C$39:$C$117, -1)+37)
            ))
        )
        *
        (INDEX('Data input'!$C:$C, MATCH((A94+B94)/2, 'Data input'!$C$39:$C$117, -1)+36) - (A94+B94)/2)
    ),
    ""
))/gammacu</f>
        <v>74.411764705882348</v>
      </c>
      <c r="Q94" s="84" cm="1">
        <f t="array" ref="Q94">(IFERROR(
    IF(
        OR(
            INDEX('Data input'!$D:$D, MATCH(B94+0.00001, 'Data input'!$C$39:$C$117, -1)+36)&lt;&gt;"CLAY",
            INDEX('Data input'!$E:$E, MATCH(B94+0.00001, 'Data input'!$C$39:$C$117, -1)+36)=0
        ),
        0,
        INDEX('Data input'!$E:$E, MATCH(B94+0.00001, 'Data input'!$C$39:$C$117, -1)+36)
        +
        (
            (INDEX('Data input'!$F:$F, MATCH(B94+0.00001, 'Data input'!$C$39:$C$117, -1)+36)
            -
            INDEX('Data input'!$E:$E, MATCH(B94+0.00001, 'Data input'!$C$39:$C$117, -1)+36))
            /
            (INDEX('Data input'!$C:$C, MATCH(B94+0.00001, 'Data input'!$C$39:$C$117, -1)+36)
            -
            IF(
                MATCH(B94+0.00001, 'Data input'!$C$39:$C$117, -1)+36=41,
                -1000,
                INDEX('Data input'!$C:$C, MATCH(B94+0.00001, 'Data input'!$C$39:$C$117, -1)+37)
            ))
        )
        *
        (INDEX('Data input'!$C:$C, MATCH(B94+0.00001, 'Data input'!$C$39:$C$117, -1)+36) - B94)
    ),
    ""
))/gammacu</f>
        <v>74.705882352941174</v>
      </c>
      <c r="R94" s="84" t="str">
        <f t="shared" si="5"/>
        <v>-</v>
      </c>
      <c r="S94" s="84" t="str">
        <f t="shared" si="6"/>
        <v>-</v>
      </c>
      <c r="T94" s="84">
        <f t="shared" si="7"/>
        <v>35.613640196313952</v>
      </c>
      <c r="U94" s="84">
        <f t="shared" si="8"/>
        <v>51.353863068744232</v>
      </c>
      <c r="V94" s="84">
        <f t="shared" si="9"/>
        <v>34.407088256058636</v>
      </c>
      <c r="W94" s="84">
        <f t="shared" si="10"/>
        <v>4000</v>
      </c>
      <c r="X94" s="84">
        <f t="shared" si="11"/>
        <v>554.05947799326225</v>
      </c>
      <c r="Y94" s="84">
        <f t="shared" si="12"/>
        <v>4523.8934211693013</v>
      </c>
      <c r="Z94" s="84">
        <f t="shared" si="13"/>
        <v>4317.9388044061207</v>
      </c>
      <c r="AA94" s="84">
        <f t="shared" si="14"/>
        <v>941.23042132281796</v>
      </c>
      <c r="AB94" s="84">
        <f t="shared" si="15"/>
        <v>51.353863068744232</v>
      </c>
      <c r="AC94" s="84">
        <f t="shared" si="16"/>
        <v>34.407088256058636</v>
      </c>
      <c r="AD94" s="84">
        <f t="shared" si="17"/>
        <v>4000</v>
      </c>
      <c r="AE94" s="84">
        <f t="shared" si="18"/>
        <v>1870.2243800219253</v>
      </c>
      <c r="AF94" s="84">
        <f t="shared" si="19"/>
        <v>4523.8934211693013</v>
      </c>
      <c r="AG94" s="84">
        <f t="shared" si="20"/>
        <v>5634.1037064347838</v>
      </c>
      <c r="AH94" s="84">
        <f t="shared" si="21"/>
        <v>1823.0609056820219</v>
      </c>
    </row>
    <row r="95" spans="1:34" ht="14.1" customHeight="1" x14ac:dyDescent="0.2">
      <c r="A95" s="84">
        <f t="shared" si="27"/>
        <v>-18</v>
      </c>
      <c r="B95" s="84">
        <f t="shared" si="22"/>
        <v>-19</v>
      </c>
      <c r="C95" s="84">
        <f t="shared" si="0"/>
        <v>787.15745528345883</v>
      </c>
      <c r="D95" s="41" t="str">
        <f>INDEX('Data input'!D:D, MATCH(A95, 'Data input'!C:C, -1))</f>
        <v>SAND</v>
      </c>
      <c r="E95" s="84">
        <f>INDEX('Data input'!H:H, MATCH(A95, 'Data input'!C:C, -1))/gammagamma</f>
        <v>18</v>
      </c>
      <c r="F95" s="91">
        <f>INDEX('Data input'!G:G, MATCH(A95, 'Data input'!C:C, -1))/gammaPhi</f>
        <v>30</v>
      </c>
      <c r="G95" s="84">
        <f t="shared" si="1"/>
        <v>230.53500000000003</v>
      </c>
      <c r="H95" s="84">
        <f t="shared" si="2"/>
        <v>235.44</v>
      </c>
      <c r="I95" s="84">
        <f t="shared" si="3"/>
        <v>416.62</v>
      </c>
      <c r="J95" s="84">
        <f t="shared" si="4"/>
        <v>425.62</v>
      </c>
      <c r="K95" s="84">
        <f t="shared" si="23"/>
        <v>186.08499999999998</v>
      </c>
      <c r="L95" s="84">
        <f t="shared" si="24"/>
        <v>190.18</v>
      </c>
      <c r="M95" s="91">
        <f t="shared" si="25"/>
        <v>30</v>
      </c>
      <c r="N95" s="84">
        <f>IF(ISNUMBER(INDEX('Data input'!I:I, MATCH(A95, 'Data input'!C:C, -1))),INDEX('Data input'!I:I, MATCH(A95, 'Data input'!C:C, -1)),1-SIN(RADIANS(F95)))</f>
        <v>0.5</v>
      </c>
      <c r="O95" s="84">
        <f t="shared" si="26"/>
        <v>0.28867513459481287</v>
      </c>
      <c r="P95" s="84" cm="1">
        <f t="array" ref="P95">(IFERROR(
    IF(
        OR(
            INDEX('Data input'!$D:$D, MATCH((A95+B95)/2, 'Data input'!$C$39:$C$117, -1)+36)&lt;&gt;"CLAY",
            INDEX('Data input'!$E:$E, MATCH((A95+B95)/2, 'Data input'!$C$39:$C$117, -1)+36)=0
        ),
        0,
        INDEX('Data input'!$E:$E, MATCH((A95+B95)/2, 'Data input'!$C$39:$C$117, -1)+36)
        +
        (
            (INDEX('Data input'!$F:$F, MATCH((A95+B95)/2, 'Data input'!$C$39:$C$117, -1)+36)
            -
            INDEX('Data input'!$E:$E, MATCH((A95+B95)/2, 'Data input'!$C$39:$C$117, -1)+36))
            /
            (INDEX('Data input'!$C:$C, MATCH((A95+B95)/2, 'Data input'!$C$39:$C$117, -1)+36)
            -
            IF(
                MATCH((A95+B95)/2, 'Data input'!$C$39:$C$117, -1)+36=41,
                -1000,
                INDEX('Data input'!$C:$C, MATCH((A95+B95)/2, 'Data input'!$C$39:$C$117, -1)+37)
            ))
        )
        *
        (INDEX('Data input'!$C:$C, MATCH((A95+B95)/2, 'Data input'!$C$39:$C$117, -1)+36) - (A95+B95)/2)
    ),
    ""
))/gammacu</f>
        <v>75</v>
      </c>
      <c r="Q95" s="84" cm="1">
        <f t="array" ref="Q95">(IFERROR(
    IF(
        OR(
            INDEX('Data input'!$D:$D, MATCH(B95+0.00001, 'Data input'!$C$39:$C$117, -1)+36)&lt;&gt;"CLAY",
            INDEX('Data input'!$E:$E, MATCH(B95+0.00001, 'Data input'!$C$39:$C$117, -1)+36)=0
        ),
        0,
        INDEX('Data input'!$E:$E, MATCH(B95+0.00001, 'Data input'!$C$39:$C$117, -1)+36)
        +
        (
            (INDEX('Data input'!$F:$F, MATCH(B95+0.00001, 'Data input'!$C$39:$C$117, -1)+36)
            -
            INDEX('Data input'!$E:$E, MATCH(B95+0.00001, 'Data input'!$C$39:$C$117, -1)+36))
            /
            (INDEX('Data input'!$C:$C, MATCH(B95+0.00001, 'Data input'!$C$39:$C$117, -1)+36)
            -
            IF(
                MATCH(B95+0.00001, 'Data input'!$C$39:$C$117, -1)+36=41,
                -1000,
                INDEX('Data input'!$C:$C, MATCH(B95+0.00001, 'Data input'!$C$39:$C$117, -1)+37)
            ))
        )
        *
        (INDEX('Data input'!$C:$C, MATCH(B95+0.00001, 'Data input'!$C$39:$C$117, -1)+36) - B95)
    ),
    ""
))/gammacu</f>
        <v>75.294117647058826</v>
      </c>
      <c r="R95" s="84" t="str">
        <f t="shared" si="5"/>
        <v>-</v>
      </c>
      <c r="S95" s="84" t="str">
        <f t="shared" si="6"/>
        <v>-</v>
      </c>
      <c r="T95" s="84">
        <f t="shared" si="7"/>
        <v>35.613640196313952</v>
      </c>
      <c r="U95" s="84">
        <f t="shared" si="8"/>
        <v>53.718112421075745</v>
      </c>
      <c r="V95" s="84">
        <f t="shared" si="9"/>
        <v>35.991135322120748</v>
      </c>
      <c r="W95" s="84">
        <f t="shared" si="10"/>
        <v>4000</v>
      </c>
      <c r="X95" s="84">
        <f t="shared" si="11"/>
        <v>756.57199080937687</v>
      </c>
      <c r="Y95" s="84">
        <f t="shared" si="12"/>
        <v>4523.8934211693013</v>
      </c>
      <c r="Z95" s="84">
        <f t="shared" si="13"/>
        <v>4493.3079566952192</v>
      </c>
      <c r="AA95" s="84">
        <f t="shared" si="14"/>
        <v>1104.0571654366306</v>
      </c>
      <c r="AB95" s="84">
        <f t="shared" si="15"/>
        <v>53.718112421075745</v>
      </c>
      <c r="AC95" s="84">
        <f t="shared" si="16"/>
        <v>35.991135322120748</v>
      </c>
      <c r="AD95" s="84">
        <f t="shared" si="17"/>
        <v>4000</v>
      </c>
      <c r="AE95" s="84">
        <f t="shared" si="18"/>
        <v>2072.7368928380401</v>
      </c>
      <c r="AF95" s="84">
        <f t="shared" si="19"/>
        <v>4523.8934211693013</v>
      </c>
      <c r="AG95" s="84">
        <f t="shared" si="20"/>
        <v>5809.4728587238824</v>
      </c>
      <c r="AH95" s="84">
        <f t="shared" si="21"/>
        <v>1985.8876497958345</v>
      </c>
    </row>
    <row r="96" spans="1:34" ht="14.1" customHeight="1" x14ac:dyDescent="0.2">
      <c r="A96" s="84">
        <f t="shared" si="27"/>
        <v>-19</v>
      </c>
      <c r="B96" s="84">
        <f t="shared" si="22"/>
        <v>-20</v>
      </c>
      <c r="C96" s="84">
        <f t="shared" si="0"/>
        <v>814.30081581047466</v>
      </c>
      <c r="D96" s="41" t="str">
        <f>INDEX('Data input'!D:D, MATCH(A96, 'Data input'!C:C, -1))</f>
        <v>SAND</v>
      </c>
      <c r="E96" s="84">
        <f>INDEX('Data input'!H:H, MATCH(A96, 'Data input'!C:C, -1))/gammagamma</f>
        <v>18</v>
      </c>
      <c r="F96" s="91">
        <f>INDEX('Data input'!G:G, MATCH(A96, 'Data input'!C:C, -1))/gammaPhi</f>
        <v>30</v>
      </c>
      <c r="G96" s="84">
        <f t="shared" si="1"/>
        <v>240.345</v>
      </c>
      <c r="H96" s="84">
        <f t="shared" si="2"/>
        <v>245.25</v>
      </c>
      <c r="I96" s="84">
        <f t="shared" si="3"/>
        <v>434.62</v>
      </c>
      <c r="J96" s="84">
        <f t="shared" si="4"/>
        <v>443.62</v>
      </c>
      <c r="K96" s="84">
        <f t="shared" si="23"/>
        <v>194.27500000000001</v>
      </c>
      <c r="L96" s="84">
        <f t="shared" si="24"/>
        <v>198.37</v>
      </c>
      <c r="M96" s="91">
        <f t="shared" si="25"/>
        <v>30</v>
      </c>
      <c r="N96" s="84">
        <f>IF(ISNUMBER(INDEX('Data input'!I:I, MATCH(A96, 'Data input'!C:C, -1))),INDEX('Data input'!I:I, MATCH(A96, 'Data input'!C:C, -1)),1-SIN(RADIANS(F96)))</f>
        <v>0.5</v>
      </c>
      <c r="O96" s="84">
        <f t="shared" si="26"/>
        <v>0.28867513459481287</v>
      </c>
      <c r="P96" s="84" cm="1">
        <f t="array" ref="P96">(IFERROR(
    IF(
        OR(
            INDEX('Data input'!$D:$D, MATCH((A96+B96)/2, 'Data input'!$C$39:$C$117, -1)+36)&lt;&gt;"CLAY",
            INDEX('Data input'!$E:$E, MATCH((A96+B96)/2, 'Data input'!$C$39:$C$117, -1)+36)=0
        ),
        0,
        INDEX('Data input'!$E:$E, MATCH((A96+B96)/2, 'Data input'!$C$39:$C$117, -1)+36)
        +
        (
            (INDEX('Data input'!$F:$F, MATCH((A96+B96)/2, 'Data input'!$C$39:$C$117, -1)+36)
            -
            INDEX('Data input'!$E:$E, MATCH((A96+B96)/2, 'Data input'!$C$39:$C$117, -1)+36))
            /
            (INDEX('Data input'!$C:$C, MATCH((A96+B96)/2, 'Data input'!$C$39:$C$117, -1)+36)
            -
            IF(
                MATCH((A96+B96)/2, 'Data input'!$C$39:$C$117, -1)+36=41,
                -1000,
                INDEX('Data input'!$C:$C, MATCH((A96+B96)/2, 'Data input'!$C$39:$C$117, -1)+37)
            ))
        )
        *
        (INDEX('Data input'!$C:$C, MATCH((A96+B96)/2, 'Data input'!$C$39:$C$117, -1)+36) - (A96+B96)/2)
    ),
    ""
))/gammacu</f>
        <v>75.588235294117652</v>
      </c>
      <c r="Q96" s="84" cm="1">
        <f t="array" ref="Q96">(IFERROR(
    IF(
        OR(
            INDEX('Data input'!$D:$D, MATCH(B96+0.00001, 'Data input'!$C$39:$C$117, -1)+36)&lt;&gt;"CLAY",
            INDEX('Data input'!$E:$E, MATCH(B96+0.00001, 'Data input'!$C$39:$C$117, -1)+36)=0
        ),
        0,
        INDEX('Data input'!$E:$E, MATCH(B96+0.00001, 'Data input'!$C$39:$C$117, -1)+36)
        +
        (
            (INDEX('Data input'!$F:$F, MATCH(B96+0.00001, 'Data input'!$C$39:$C$117, -1)+36)
            -
            INDEX('Data input'!$E:$E, MATCH(B96+0.00001, 'Data input'!$C$39:$C$117, -1)+36))
            /
            (INDEX('Data input'!$C:$C, MATCH(B96+0.00001, 'Data input'!$C$39:$C$117, -1)+36)
            -
            IF(
                MATCH(B96+0.00001, 'Data input'!$C$39:$C$117, -1)+36=41,
                -1000,
                INDEX('Data input'!$C:$C, MATCH(B96+0.00001, 'Data input'!$C$39:$C$117, -1)+37)
            ))
        )
        *
        (INDEX('Data input'!$C:$C, MATCH(B96+0.00001, 'Data input'!$C$39:$C$117, -1)+36) - B96)
    ),
    ""
))/gammacu</f>
        <v>75.882352941176464</v>
      </c>
      <c r="R96" s="84" t="str">
        <f t="shared" si="5"/>
        <v>-</v>
      </c>
      <c r="S96" s="84" t="str">
        <f t="shared" si="6"/>
        <v>-</v>
      </c>
      <c r="T96" s="84">
        <f t="shared" si="7"/>
        <v>35.613640196313952</v>
      </c>
      <c r="U96" s="84">
        <f t="shared" si="8"/>
        <v>56.082361773407271</v>
      </c>
      <c r="V96" s="84">
        <f t="shared" si="9"/>
        <v>37.575182388182874</v>
      </c>
      <c r="W96" s="84">
        <f t="shared" si="10"/>
        <v>4000</v>
      </c>
      <c r="X96" s="84">
        <f t="shared" si="11"/>
        <v>967.99751370133845</v>
      </c>
      <c r="Y96" s="84">
        <f t="shared" si="12"/>
        <v>4523.8934211693013</v>
      </c>
      <c r="Z96" s="84">
        <f t="shared" si="13"/>
        <v>4677.5901190601653</v>
      </c>
      <c r="AA96" s="84">
        <f t="shared" si="14"/>
        <v>1272.8556263012606</v>
      </c>
      <c r="AB96" s="84">
        <f t="shared" si="15"/>
        <v>56.082361773407271</v>
      </c>
      <c r="AC96" s="84">
        <f t="shared" si="16"/>
        <v>37.575182388182874</v>
      </c>
      <c r="AD96" s="84">
        <f t="shared" si="17"/>
        <v>4000</v>
      </c>
      <c r="AE96" s="84">
        <f t="shared" si="18"/>
        <v>2284.1624157300016</v>
      </c>
      <c r="AF96" s="84">
        <f t="shared" si="19"/>
        <v>4523.8934211693013</v>
      </c>
      <c r="AG96" s="84">
        <f t="shared" si="20"/>
        <v>5993.7550210888276</v>
      </c>
      <c r="AH96" s="84">
        <f t="shared" si="21"/>
        <v>2154.6861106604647</v>
      </c>
    </row>
    <row r="97" spans="1:34" ht="14.1" customHeight="1" x14ac:dyDescent="0.2">
      <c r="A97" s="84">
        <f t="shared" si="27"/>
        <v>-20</v>
      </c>
      <c r="B97" s="84">
        <f t="shared" si="22"/>
        <v>-21</v>
      </c>
      <c r="C97" s="84">
        <f t="shared" si="0"/>
        <v>841.44417633749049</v>
      </c>
      <c r="D97" s="41" t="str">
        <f>INDEX('Data input'!D:D, MATCH(A97, 'Data input'!C:C, -1))</f>
        <v>SAND</v>
      </c>
      <c r="E97" s="84">
        <f>INDEX('Data input'!H:H, MATCH(A97, 'Data input'!C:C, -1))/gammagamma</f>
        <v>19</v>
      </c>
      <c r="F97" s="91">
        <f>INDEX('Data input'!G:G, MATCH(A97, 'Data input'!C:C, -1))/gammaPhi</f>
        <v>32</v>
      </c>
      <c r="G97" s="84">
        <f t="shared" si="1"/>
        <v>250.155</v>
      </c>
      <c r="H97" s="84">
        <f t="shared" si="2"/>
        <v>255.06</v>
      </c>
      <c r="I97" s="84">
        <f t="shared" si="3"/>
        <v>453.12</v>
      </c>
      <c r="J97" s="84">
        <f t="shared" si="4"/>
        <v>462.62</v>
      </c>
      <c r="K97" s="84">
        <f t="shared" si="23"/>
        <v>202.965</v>
      </c>
      <c r="L97" s="84">
        <f t="shared" si="24"/>
        <v>207.56</v>
      </c>
      <c r="M97" s="91">
        <f t="shared" si="25"/>
        <v>32</v>
      </c>
      <c r="N97" s="84">
        <f>IF(ISNUMBER(INDEX('Data input'!I:I, MATCH(A97, 'Data input'!C:C, -1))),INDEX('Data input'!I:I, MATCH(A97, 'Data input'!C:C, -1)),1-SIN(RADIANS(F97)))</f>
        <v>0.4700807357667951</v>
      </c>
      <c r="O97" s="84">
        <f t="shared" si="26"/>
        <v>0.29373904470365708</v>
      </c>
      <c r="P97" s="84" cm="1">
        <f t="array" ref="P97">(IFERROR(
    IF(
        OR(
            INDEX('Data input'!$D:$D, MATCH((A97+B97)/2, 'Data input'!$C$39:$C$117, -1)+36)&lt;&gt;"CLAY",
            INDEX('Data input'!$E:$E, MATCH((A97+B97)/2, 'Data input'!$C$39:$C$117, -1)+36)=0
        ),
        0,
        INDEX('Data input'!$E:$E, MATCH((A97+B97)/2, 'Data input'!$C$39:$C$117, -1)+36)
        +
        (
            (INDEX('Data input'!$F:$F, MATCH((A97+B97)/2, 'Data input'!$C$39:$C$117, -1)+36)
            -
            INDEX('Data input'!$E:$E, MATCH((A97+B97)/2, 'Data input'!$C$39:$C$117, -1)+36))
            /
            (INDEX('Data input'!$C:$C, MATCH((A97+B97)/2, 'Data input'!$C$39:$C$117, -1)+36)
            -
            IF(
                MATCH((A97+B97)/2, 'Data input'!$C$39:$C$117, -1)+36=41,
                -1000,
                INDEX('Data input'!$C:$C, MATCH((A97+B97)/2, 'Data input'!$C$39:$C$117, -1)+37)
            ))
        )
        *
        (INDEX('Data input'!$C:$C, MATCH((A97+B97)/2, 'Data input'!$C$39:$C$117, -1)+36) - (A97+B97)/2)
    ),
    ""
))/gammacu</f>
        <v>75.159090909090907</v>
      </c>
      <c r="Q97" s="84" cm="1">
        <f t="array" ref="Q97">(IFERROR(
    IF(
        OR(
            INDEX('Data input'!$D:$D, MATCH(B97+0.00001, 'Data input'!$C$39:$C$117, -1)+36)&lt;&gt;"CLAY",
            INDEX('Data input'!$E:$E, MATCH(B97+0.00001, 'Data input'!$C$39:$C$117, -1)+36)=0
        ),
        0,
        INDEX('Data input'!$E:$E, MATCH(B97+0.00001, 'Data input'!$C$39:$C$117, -1)+36)
        +
        (
            (INDEX('Data input'!$F:$F, MATCH(B97+0.00001, 'Data input'!$C$39:$C$117, -1)+36)
            -
            INDEX('Data input'!$E:$E, MATCH(B97+0.00001, 'Data input'!$C$39:$C$117, -1)+36))
            /
            (INDEX('Data input'!$C:$C, MATCH(B97+0.00001, 'Data input'!$C$39:$C$117, -1)+36)
            -
            IF(
                MATCH(B97+0.00001, 'Data input'!$C$39:$C$117, -1)+36=41,
                -1000,
                INDEX('Data input'!$C:$C, MATCH(B97+0.00001, 'Data input'!$C$39:$C$117, -1)+37)
            ))
        )
        *
        (INDEX('Data input'!$C:$C, MATCH(B97+0.00001, 'Data input'!$C$39:$C$117, -1)+36) - B97)
    ),
    ""
))/gammacu</f>
        <v>75.166666666666671</v>
      </c>
      <c r="R97" s="84" t="str">
        <f t="shared" si="5"/>
        <v>-</v>
      </c>
      <c r="S97" s="84" t="str">
        <f t="shared" si="6"/>
        <v>-</v>
      </c>
      <c r="T97" s="84">
        <f t="shared" si="7"/>
        <v>50.740718579126948</v>
      </c>
      <c r="U97" s="84">
        <f t="shared" si="8"/>
        <v>59.618745208277758</v>
      </c>
      <c r="V97" s="84">
        <f t="shared" si="9"/>
        <v>39.944559289546099</v>
      </c>
      <c r="W97" s="84">
        <f t="shared" si="10"/>
        <v>4000</v>
      </c>
      <c r="X97" s="84">
        <f t="shared" si="11"/>
        <v>1192.7548880564191</v>
      </c>
      <c r="Y97" s="84">
        <f t="shared" si="12"/>
        <v>4523.8934211693013</v>
      </c>
      <c r="Z97" s="84">
        <f t="shared" si="13"/>
        <v>4875.2041328882297</v>
      </c>
      <c r="AA97" s="84">
        <f t="shared" si="14"/>
        <v>1450.5864276461803</v>
      </c>
      <c r="AB97" s="84">
        <f t="shared" si="15"/>
        <v>59.618745208277758</v>
      </c>
      <c r="AC97" s="84">
        <f t="shared" si="16"/>
        <v>39.944559289546099</v>
      </c>
      <c r="AD97" s="84">
        <f t="shared" si="17"/>
        <v>4000</v>
      </c>
      <c r="AE97" s="84">
        <f t="shared" si="18"/>
        <v>2508.9197900850822</v>
      </c>
      <c r="AF97" s="84">
        <f t="shared" si="19"/>
        <v>4523.8934211693013</v>
      </c>
      <c r="AG97" s="84">
        <f t="shared" si="20"/>
        <v>6191.3690349168928</v>
      </c>
      <c r="AH97" s="84">
        <f t="shared" si="21"/>
        <v>2332.4169120053843</v>
      </c>
    </row>
    <row r="98" spans="1:34" ht="14.1" customHeight="1" x14ac:dyDescent="0.2">
      <c r="A98" s="84">
        <f t="shared" si="27"/>
        <v>-21</v>
      </c>
      <c r="B98" s="84">
        <f t="shared" si="22"/>
        <v>-22</v>
      </c>
      <c r="C98" s="84">
        <f t="shared" si="0"/>
        <v>868.58753686450632</v>
      </c>
      <c r="D98" s="41" t="str">
        <f>INDEX('Data input'!D:D, MATCH(A98, 'Data input'!C:C, -1))</f>
        <v>SAND</v>
      </c>
      <c r="E98" s="84">
        <f>INDEX('Data input'!H:H, MATCH(A98, 'Data input'!C:C, -1))/gammagamma</f>
        <v>19</v>
      </c>
      <c r="F98" s="91">
        <f>INDEX('Data input'!G:G, MATCH(A98, 'Data input'!C:C, -1))/gammaPhi</f>
        <v>32</v>
      </c>
      <c r="G98" s="84">
        <f t="shared" si="1"/>
        <v>259.96500000000003</v>
      </c>
      <c r="H98" s="84">
        <f t="shared" si="2"/>
        <v>264.87</v>
      </c>
      <c r="I98" s="84">
        <f t="shared" si="3"/>
        <v>472.12</v>
      </c>
      <c r="J98" s="84">
        <f t="shared" si="4"/>
        <v>481.62</v>
      </c>
      <c r="K98" s="84">
        <f t="shared" si="23"/>
        <v>212.15499999999997</v>
      </c>
      <c r="L98" s="84">
        <f t="shared" si="24"/>
        <v>216.75</v>
      </c>
      <c r="M98" s="91">
        <f t="shared" si="25"/>
        <v>32</v>
      </c>
      <c r="N98" s="84">
        <f>IF(ISNUMBER(INDEX('Data input'!I:I, MATCH(A98, 'Data input'!C:C, -1))),INDEX('Data input'!I:I, MATCH(A98, 'Data input'!C:C, -1)),1-SIN(RADIANS(F98)))</f>
        <v>0.4700807357667951</v>
      </c>
      <c r="O98" s="84">
        <f t="shared" si="26"/>
        <v>0.29373904470365708</v>
      </c>
      <c r="P98" s="84" cm="1">
        <f t="array" ref="P98">(IFERROR(
    IF(
        OR(
            INDEX('Data input'!$D:$D, MATCH((A98+B98)/2, 'Data input'!$C$39:$C$117, -1)+36)&lt;&gt;"CLAY",
            INDEX('Data input'!$E:$E, MATCH((A98+B98)/2, 'Data input'!$C$39:$C$117, -1)+36)=0
        ),
        0,
        INDEX('Data input'!$E:$E, MATCH((A98+B98)/2, 'Data input'!$C$39:$C$117, -1)+36)
        +
        (
            (INDEX('Data input'!$F:$F, MATCH((A98+B98)/2, 'Data input'!$C$39:$C$117, -1)+36)
            -
            INDEX('Data input'!$E:$E, MATCH((A98+B98)/2, 'Data input'!$C$39:$C$117, -1)+36))
            /
            (INDEX('Data input'!$C:$C, MATCH((A98+B98)/2, 'Data input'!$C$39:$C$117, -1)+36)
            -
            IF(
                MATCH((A98+B98)/2, 'Data input'!$C$39:$C$117, -1)+36=41,
                -1000,
                INDEX('Data input'!$C:$C, MATCH((A98+B98)/2, 'Data input'!$C$39:$C$117, -1)+37)
            ))
        )
        *
        (INDEX('Data input'!$C:$C, MATCH((A98+B98)/2, 'Data input'!$C$39:$C$117, -1)+36) - (A98+B98)/2)
    ),
    ""
))/gammacu</f>
        <v>75.174242424242422</v>
      </c>
      <c r="Q98" s="84" cm="1">
        <f t="array" ref="Q98">(IFERROR(
    IF(
        OR(
            INDEX('Data input'!$D:$D, MATCH(B98+0.00001, 'Data input'!$C$39:$C$117, -1)+36)&lt;&gt;"CLAY",
            INDEX('Data input'!$E:$E, MATCH(B98+0.00001, 'Data input'!$C$39:$C$117, -1)+36)=0
        ),
        0,
        INDEX('Data input'!$E:$E, MATCH(B98+0.00001, 'Data input'!$C$39:$C$117, -1)+36)
        +
        (
            (INDEX('Data input'!$F:$F, MATCH(B98+0.00001, 'Data input'!$C$39:$C$117, -1)+36)
            -
            INDEX('Data input'!$E:$E, MATCH(B98+0.00001, 'Data input'!$C$39:$C$117, -1)+36))
            /
            (INDEX('Data input'!$C:$C, MATCH(B98+0.00001, 'Data input'!$C$39:$C$117, -1)+36)
            -
            IF(
                MATCH(B98+0.00001, 'Data input'!$C$39:$C$117, -1)+36=41,
                -1000,
                INDEX('Data input'!$C:$C, MATCH(B98+0.00001, 'Data input'!$C$39:$C$117, -1)+37)
            ))
        )
        *
        (INDEX('Data input'!$C:$C, MATCH(B98+0.00001, 'Data input'!$C$39:$C$117, -1)+36) - B98)
    ),
    ""
))/gammacu</f>
        <v>75.181818181818187</v>
      </c>
      <c r="R98" s="84" t="str">
        <f t="shared" si="5"/>
        <v>-</v>
      </c>
      <c r="S98" s="84" t="str">
        <f t="shared" si="6"/>
        <v>-</v>
      </c>
      <c r="T98" s="84">
        <f t="shared" si="7"/>
        <v>50.740718579126948</v>
      </c>
      <c r="U98" s="84">
        <f t="shared" si="8"/>
        <v>62.318207029104357</v>
      </c>
      <c r="V98" s="84">
        <f t="shared" si="9"/>
        <v>41.75319870949992</v>
      </c>
      <c r="W98" s="84">
        <f t="shared" si="10"/>
        <v>4000</v>
      </c>
      <c r="X98" s="84">
        <f t="shared" si="11"/>
        <v>1427.6889937214455</v>
      </c>
      <c r="Y98" s="84">
        <f t="shared" si="12"/>
        <v>4523.8934211693013</v>
      </c>
      <c r="Z98" s="84">
        <f t="shared" si="13"/>
        <v>5082.9948780262403</v>
      </c>
      <c r="AA98" s="84">
        <f t="shared" si="14"/>
        <v>1635.1356389687639</v>
      </c>
      <c r="AB98" s="84">
        <f t="shared" si="15"/>
        <v>62.318207029104357</v>
      </c>
      <c r="AC98" s="84">
        <f t="shared" si="16"/>
        <v>41.75319870949992</v>
      </c>
      <c r="AD98" s="84">
        <f t="shared" si="17"/>
        <v>4000</v>
      </c>
      <c r="AE98" s="84">
        <f t="shared" si="18"/>
        <v>2743.8538957501087</v>
      </c>
      <c r="AF98" s="84">
        <f t="shared" si="19"/>
        <v>4523.8934211693013</v>
      </c>
      <c r="AG98" s="84">
        <f t="shared" si="20"/>
        <v>6399.1597800549034</v>
      </c>
      <c r="AH98" s="84">
        <f t="shared" si="21"/>
        <v>2516.966123327968</v>
      </c>
    </row>
    <row r="99" spans="1:34" ht="14.1" customHeight="1" x14ac:dyDescent="0.2">
      <c r="A99" s="84">
        <f t="shared" si="27"/>
        <v>-22</v>
      </c>
      <c r="B99" s="84">
        <f t="shared" si="22"/>
        <v>-23</v>
      </c>
      <c r="C99" s="84">
        <f t="shared" ref="C99:C130" si="28">C98+gammaConc*(A99-B99)*PI()*(D/2000)^2</f>
        <v>895.73089739152215</v>
      </c>
      <c r="D99" s="41" t="str">
        <f>INDEX('Data input'!D:D, MATCH(A99, 'Data input'!C:C, -1))</f>
        <v>SAND</v>
      </c>
      <c r="E99" s="84">
        <f>INDEX('Data input'!H:H, MATCH(A99, 'Data input'!C:C, -1))/gammagamma</f>
        <v>19</v>
      </c>
      <c r="F99" s="91">
        <f>INDEX('Data input'!G:G, MATCH(A99, 'Data input'!C:C, -1))/gammaPhi</f>
        <v>32</v>
      </c>
      <c r="G99" s="84">
        <f t="shared" ref="G99:G116" si="29">MAX(0, (IF(Dewatered="Yes", MIN(GWT, Exc), GWT) - (A99+B99)/2) * 9.81)</f>
        <v>269.77500000000003</v>
      </c>
      <c r="H99" s="84">
        <f t="shared" ref="H99:H116" si="30">MAX(0, (IF(Dewatered="Yes", MIN(GWT, Exc), GWT) - B99) * 9.81)</f>
        <v>274.68</v>
      </c>
      <c r="I99" s="84">
        <f t="shared" ref="I99:I116" si="31">IF(AND(Dewatered="Yes", A99&gt;=Exc),0,J98+(E99 * MAX(0, MIN(A99, Exc) - B99)+ 9.81 * IF(Dewatered="Yes",0,MAX(0, MIN(A99, GWT) - MAX(B99, Exc))))*(A99-B99)/2)</f>
        <v>491.12</v>
      </c>
      <c r="J99" s="84">
        <f t="shared" ref="J99:J116" si="32">IF(AND(Dewatered="Yes", A99&gt;=Exc),0,J98+ E99 * MAX(0, MIN(A99, Exc) - B99)+ 9.81 * IF(Dewatered="Yes",0,MAX(0, MIN(A99, GWT) - MAX(B99, Exc))))</f>
        <v>500.62</v>
      </c>
      <c r="K99" s="84">
        <f t="shared" si="23"/>
        <v>221.34499999999997</v>
      </c>
      <c r="L99" s="84">
        <f t="shared" si="24"/>
        <v>225.94</v>
      </c>
      <c r="M99" s="91">
        <f t="shared" si="25"/>
        <v>32</v>
      </c>
      <c r="N99" s="84">
        <f>IF(ISNUMBER(INDEX('Data input'!I:I, MATCH(A99, 'Data input'!C:C, -1))),INDEX('Data input'!I:I, MATCH(A99, 'Data input'!C:C, -1)),1-SIN(RADIANS(F99)))</f>
        <v>0.4700807357667951</v>
      </c>
      <c r="O99" s="84">
        <f t="shared" si="26"/>
        <v>0.29373904470365708</v>
      </c>
      <c r="P99" s="84" cm="1">
        <f t="array" ref="P99">(IFERROR(
    IF(
        OR(
            INDEX('Data input'!$D:$D, MATCH((A99+B99)/2, 'Data input'!$C$39:$C$117, -1)+36)&lt;&gt;"CLAY",
            INDEX('Data input'!$E:$E, MATCH((A99+B99)/2, 'Data input'!$C$39:$C$117, -1)+36)=0
        ),
        0,
        INDEX('Data input'!$E:$E, MATCH((A99+B99)/2, 'Data input'!$C$39:$C$117, -1)+36)
        +
        (
            (INDEX('Data input'!$F:$F, MATCH((A99+B99)/2, 'Data input'!$C$39:$C$117, -1)+36)
            -
            INDEX('Data input'!$E:$E, MATCH((A99+B99)/2, 'Data input'!$C$39:$C$117, -1)+36))
            /
            (INDEX('Data input'!$C:$C, MATCH((A99+B99)/2, 'Data input'!$C$39:$C$117, -1)+36)
            -
            IF(
                MATCH((A99+B99)/2, 'Data input'!$C$39:$C$117, -1)+36=41,
                -1000,
                INDEX('Data input'!$C:$C, MATCH((A99+B99)/2, 'Data input'!$C$39:$C$117, -1)+37)
            ))
        )
        *
        (INDEX('Data input'!$C:$C, MATCH((A99+B99)/2, 'Data input'!$C$39:$C$117, -1)+36) - (A99+B99)/2)
    ),
    ""
))/gammacu</f>
        <v>75.189393939393938</v>
      </c>
      <c r="Q99" s="84" cm="1">
        <f t="array" ref="Q99">(IFERROR(
    IF(
        OR(
            INDEX('Data input'!$D:$D, MATCH(B99+0.00001, 'Data input'!$C$39:$C$117, -1)+36)&lt;&gt;"CLAY",
            INDEX('Data input'!$E:$E, MATCH(B99+0.00001, 'Data input'!$C$39:$C$117, -1)+36)=0
        ),
        0,
        INDEX('Data input'!$E:$E, MATCH(B99+0.00001, 'Data input'!$C$39:$C$117, -1)+36)
        +
        (
            (INDEX('Data input'!$F:$F, MATCH(B99+0.00001, 'Data input'!$C$39:$C$117, -1)+36)
            -
            INDEX('Data input'!$E:$E, MATCH(B99+0.00001, 'Data input'!$C$39:$C$117, -1)+36))
            /
            (INDEX('Data input'!$C:$C, MATCH(B99+0.00001, 'Data input'!$C$39:$C$117, -1)+36)
            -
            IF(
                MATCH(B99+0.00001, 'Data input'!$C$39:$C$117, -1)+36=41,
                -1000,
                INDEX('Data input'!$C:$C, MATCH(B99+0.00001, 'Data input'!$C$39:$C$117, -1)+37)
            ))
        )
        *
        (INDEX('Data input'!$C:$C, MATCH(B99+0.00001, 'Data input'!$C$39:$C$117, -1)+36) - B99)
    ),
    ""
))/gammacu</f>
        <v>75.196969696969703</v>
      </c>
      <c r="R99" s="84" t="str">
        <f t="shared" ref="R99:R116" si="33">IF(UPPER(D99)="CLAY",IF(P99&lt;=25,1,IF(P99&gt;=70,0.5,(1-(P99-25)/70))),"-")</f>
        <v>-</v>
      </c>
      <c r="S99" s="84" t="str">
        <f t="shared" ref="S99:S116" si="34">IF(UPPER(D99)="CLAY",MIN(6*(1+0.2*($A$67-B99)*1000/D),9),"-")</f>
        <v>-</v>
      </c>
      <c r="T99" s="84">
        <f t="shared" ref="T99:T116" si="35">0.176*EXP(0.177*M99)</f>
        <v>50.740718579126948</v>
      </c>
      <c r="U99" s="84">
        <f t="shared" ref="U99:U116" si="36">IF(B99&gt;=Exc,0,MIN(IF(UPPER(D99)="CLAY",R99*P99,O99*K99),limit.fs))</f>
        <v>65.017668849930971</v>
      </c>
      <c r="V99" s="84">
        <f t="shared" ref="V99:V130" si="37">IF(B99&gt;=Exc,0,MIN(U99*0.67,limit.f.t))</f>
        <v>43.561838129453754</v>
      </c>
      <c r="W99" s="84">
        <f t="shared" ref="W99:W116" si="38">IF(B99&gt;=Exc,0,MIN(IF(UPPER(D99)="CLAY",S99*Q99,T99*L99),limit.fb))</f>
        <v>4000</v>
      </c>
      <c r="X99" s="84">
        <f t="shared" ref="X99:X116" si="39">IF(B99&gt;=Exc,0,X98+PI()*(D/1000)*(A99-B99)*U99)</f>
        <v>1672.799830696418</v>
      </c>
      <c r="Y99" s="84">
        <f t="shared" ref="Y99:Y116" si="40">IF(B99&gt;=Exc,0,W99*PI()*(D/2000)^2)</f>
        <v>4523.8934211693013</v>
      </c>
      <c r="Z99" s="84">
        <f t="shared" ref="Z99:Z130" si="41">IF(B99&gt;=Exc,0,MAX(X99+Y99-C99,0))</f>
        <v>5300.9623544741971</v>
      </c>
      <c r="AA99" s="84">
        <f t="shared" ref="AA99:AA116" si="42">IF(B99&gt;=Exc,0,AA98+PI()*(D/1000)*(A99-B99)*V99+gammaConc*(A99-B99)*PI()*(D/2000)^2)</f>
        <v>1826.5032602690114</v>
      </c>
      <c r="AB99" s="84">
        <f t="shared" ref="AB99:AB116" si="43">IF(B99&gt;=Exc,0,MIN(O99*K99,limit.fs))</f>
        <v>65.017668849930971</v>
      </c>
      <c r="AC99" s="84">
        <f t="shared" ref="AC99:AC130" si="44">IF(B99&gt;=Exc,0,MIN(AB99*0.67,limit.f.t))</f>
        <v>43.561838129453754</v>
      </c>
      <c r="AD99" s="84">
        <f t="shared" ref="AD99:AD116" si="45">IF(B99&gt;=Exc,0,MIN(T99*L99,limit.fb))</f>
        <v>4000</v>
      </c>
      <c r="AE99" s="84">
        <f t="shared" ref="AE99:AE116" si="46">IF(B99&gt;=Exc,0,AE98+PI()*(D/1000)*(A99-B99)*AB99)</f>
        <v>2988.9647327250814</v>
      </c>
      <c r="AF99" s="84">
        <f t="shared" ref="AF99:AF116" si="47">IF(B99&gt;=Exc,0,AD99*PI()*(D/2000)^2)</f>
        <v>4523.8934211693013</v>
      </c>
      <c r="AG99" s="84">
        <f t="shared" ref="AG99:AG130" si="48">IF(B99&gt;=Exc,0,MAX(AE99+AF99-C99,0))</f>
        <v>6617.1272565028603</v>
      </c>
      <c r="AH99" s="84">
        <f t="shared" ref="AH99:AH116" si="49">IF(B99&gt;=Exc,0,AH98+PI()*(D/1000)*(A99-B99)*AC99+gammaConc*(A99-B99)*PI()*(D/2000)^2)</f>
        <v>2708.3337446282153</v>
      </c>
    </row>
    <row r="100" spans="1:34" ht="14.1" customHeight="1" x14ac:dyDescent="0.2">
      <c r="A100" s="84">
        <f t="shared" si="27"/>
        <v>-23</v>
      </c>
      <c r="B100" s="84">
        <f t="shared" si="22"/>
        <v>-24</v>
      </c>
      <c r="C100" s="84">
        <f t="shared" si="28"/>
        <v>922.87425791853798</v>
      </c>
      <c r="D100" s="41" t="str">
        <f>INDEX('Data input'!D:D, MATCH(A100, 'Data input'!C:C, -1))</f>
        <v>SAND</v>
      </c>
      <c r="E100" s="84">
        <f>INDEX('Data input'!H:H, MATCH(A100, 'Data input'!C:C, -1))/gammagamma</f>
        <v>19</v>
      </c>
      <c r="F100" s="91">
        <f>INDEX('Data input'!G:G, MATCH(A100, 'Data input'!C:C, -1))/gammaPhi</f>
        <v>32</v>
      </c>
      <c r="G100" s="84">
        <f t="shared" si="29"/>
        <v>279.58500000000004</v>
      </c>
      <c r="H100" s="84">
        <f t="shared" si="30"/>
        <v>284.49</v>
      </c>
      <c r="I100" s="84">
        <f t="shared" si="31"/>
        <v>510.12</v>
      </c>
      <c r="J100" s="84">
        <f t="shared" si="32"/>
        <v>519.62</v>
      </c>
      <c r="K100" s="84">
        <f t="shared" si="23"/>
        <v>230.53499999999997</v>
      </c>
      <c r="L100" s="84">
        <f t="shared" si="24"/>
        <v>235.13</v>
      </c>
      <c r="M100" s="91">
        <f t="shared" si="25"/>
        <v>32</v>
      </c>
      <c r="N100" s="84">
        <f>IF(ISNUMBER(INDEX('Data input'!I:I, MATCH(A100, 'Data input'!C:C, -1))),INDEX('Data input'!I:I, MATCH(A100, 'Data input'!C:C, -1)),1-SIN(RADIANS(F100)))</f>
        <v>0.4700807357667951</v>
      </c>
      <c r="O100" s="84">
        <f t="shared" si="26"/>
        <v>0.29373904470365708</v>
      </c>
      <c r="P100" s="84" cm="1">
        <f t="array" ref="P100">(IFERROR(
    IF(
        OR(
            INDEX('Data input'!$D:$D, MATCH((A100+B100)/2, 'Data input'!$C$39:$C$117, -1)+36)&lt;&gt;"CLAY",
            INDEX('Data input'!$E:$E, MATCH((A100+B100)/2, 'Data input'!$C$39:$C$117, -1)+36)=0
        ),
        0,
        INDEX('Data input'!$E:$E, MATCH((A100+B100)/2, 'Data input'!$C$39:$C$117, -1)+36)
        +
        (
            (INDEX('Data input'!$F:$F, MATCH((A100+B100)/2, 'Data input'!$C$39:$C$117, -1)+36)
            -
            INDEX('Data input'!$E:$E, MATCH((A100+B100)/2, 'Data input'!$C$39:$C$117, -1)+36))
            /
            (INDEX('Data input'!$C:$C, MATCH((A100+B100)/2, 'Data input'!$C$39:$C$117, -1)+36)
            -
            IF(
                MATCH((A100+B100)/2, 'Data input'!$C$39:$C$117, -1)+36=41,
                -1000,
                INDEX('Data input'!$C:$C, MATCH((A100+B100)/2, 'Data input'!$C$39:$C$117, -1)+37)
            ))
        )
        *
        (INDEX('Data input'!$C:$C, MATCH((A100+B100)/2, 'Data input'!$C$39:$C$117, -1)+36) - (A100+B100)/2)
    ),
    ""
))/gammacu</f>
        <v>75.204545454545453</v>
      </c>
      <c r="Q100" s="84" cm="1">
        <f t="array" ref="Q100">(IFERROR(
    IF(
        OR(
            INDEX('Data input'!$D:$D, MATCH(B100+0.00001, 'Data input'!$C$39:$C$117, -1)+36)&lt;&gt;"CLAY",
            INDEX('Data input'!$E:$E, MATCH(B100+0.00001, 'Data input'!$C$39:$C$117, -1)+36)=0
        ),
        0,
        INDEX('Data input'!$E:$E, MATCH(B100+0.00001, 'Data input'!$C$39:$C$117, -1)+36)
        +
        (
            (INDEX('Data input'!$F:$F, MATCH(B100+0.00001, 'Data input'!$C$39:$C$117, -1)+36)
            -
            INDEX('Data input'!$E:$E, MATCH(B100+0.00001, 'Data input'!$C$39:$C$117, -1)+36))
            /
            (INDEX('Data input'!$C:$C, MATCH(B100+0.00001, 'Data input'!$C$39:$C$117, -1)+36)
            -
            IF(
                MATCH(B100+0.00001, 'Data input'!$C$39:$C$117, -1)+36=41,
                -1000,
                INDEX('Data input'!$C:$C, MATCH(B100+0.00001, 'Data input'!$C$39:$C$117, -1)+37)
            ))
        )
        *
        (INDEX('Data input'!$C:$C, MATCH(B100+0.00001, 'Data input'!$C$39:$C$117, -1)+36) - B100)
    ),
    ""
))/gammacu</f>
        <v>75.212121212121218</v>
      </c>
      <c r="R100" s="84" t="str">
        <f t="shared" si="33"/>
        <v>-</v>
      </c>
      <c r="S100" s="84" t="str">
        <f t="shared" si="34"/>
        <v>-</v>
      </c>
      <c r="T100" s="84">
        <f t="shared" si="35"/>
        <v>50.740718579126948</v>
      </c>
      <c r="U100" s="84">
        <f t="shared" si="36"/>
        <v>67.71713067075757</v>
      </c>
      <c r="V100" s="84">
        <f t="shared" si="37"/>
        <v>45.370477549407575</v>
      </c>
      <c r="W100" s="84">
        <f t="shared" si="38"/>
        <v>4000</v>
      </c>
      <c r="X100" s="84">
        <f t="shared" si="39"/>
        <v>1928.0873989813365</v>
      </c>
      <c r="Y100" s="84">
        <f t="shared" si="40"/>
        <v>4523.8934211693013</v>
      </c>
      <c r="Z100" s="84">
        <f t="shared" si="41"/>
        <v>5529.1065622320993</v>
      </c>
      <c r="AA100" s="84">
        <f t="shared" si="42"/>
        <v>2024.6892915469227</v>
      </c>
      <c r="AB100" s="84">
        <f t="shared" si="43"/>
        <v>67.71713067075757</v>
      </c>
      <c r="AC100" s="84">
        <f t="shared" si="44"/>
        <v>45.370477549407575</v>
      </c>
      <c r="AD100" s="84">
        <f t="shared" si="45"/>
        <v>4000</v>
      </c>
      <c r="AE100" s="84">
        <f t="shared" si="46"/>
        <v>3244.2523010099999</v>
      </c>
      <c r="AF100" s="84">
        <f t="shared" si="47"/>
        <v>4523.8934211693013</v>
      </c>
      <c r="AG100" s="84">
        <f t="shared" si="48"/>
        <v>6845.2714642607625</v>
      </c>
      <c r="AH100" s="84">
        <f t="shared" si="49"/>
        <v>2906.5197759061266</v>
      </c>
    </row>
    <row r="101" spans="1:34" ht="14.1" customHeight="1" x14ac:dyDescent="0.2">
      <c r="A101" s="84">
        <f t="shared" si="27"/>
        <v>-24</v>
      </c>
      <c r="B101" s="84">
        <f t="shared" si="22"/>
        <v>-25</v>
      </c>
      <c r="C101" s="84">
        <f t="shared" si="28"/>
        <v>950.01761844555381</v>
      </c>
      <c r="D101" s="41" t="str">
        <f>INDEX('Data input'!D:D, MATCH(A101, 'Data input'!C:C, -1))</f>
        <v>SAND</v>
      </c>
      <c r="E101" s="84">
        <f>INDEX('Data input'!H:H, MATCH(A101, 'Data input'!C:C, -1))/gammagamma</f>
        <v>19</v>
      </c>
      <c r="F101" s="91">
        <f>INDEX('Data input'!G:G, MATCH(A101, 'Data input'!C:C, -1))/gammaPhi</f>
        <v>32</v>
      </c>
      <c r="G101" s="84">
        <f t="shared" si="29"/>
        <v>289.39500000000004</v>
      </c>
      <c r="H101" s="84">
        <f t="shared" si="30"/>
        <v>294.3</v>
      </c>
      <c r="I101" s="84">
        <f t="shared" si="31"/>
        <v>529.12</v>
      </c>
      <c r="J101" s="84">
        <f t="shared" si="32"/>
        <v>538.62</v>
      </c>
      <c r="K101" s="84">
        <f t="shared" si="23"/>
        <v>239.72499999999997</v>
      </c>
      <c r="L101" s="84">
        <f t="shared" si="24"/>
        <v>244.32</v>
      </c>
      <c r="M101" s="91">
        <f t="shared" si="25"/>
        <v>32</v>
      </c>
      <c r="N101" s="84">
        <f>IF(ISNUMBER(INDEX('Data input'!I:I, MATCH(A101, 'Data input'!C:C, -1))),INDEX('Data input'!I:I, MATCH(A101, 'Data input'!C:C, -1)),1-SIN(RADIANS(F101)))</f>
        <v>0.4700807357667951</v>
      </c>
      <c r="O101" s="84">
        <f t="shared" si="26"/>
        <v>0.29373904470365708</v>
      </c>
      <c r="P101" s="84" cm="1">
        <f t="array" ref="P101">(IFERROR(
    IF(
        OR(
            INDEX('Data input'!$D:$D, MATCH((A101+B101)/2, 'Data input'!$C$39:$C$117, -1)+36)&lt;&gt;"CLAY",
            INDEX('Data input'!$E:$E, MATCH((A101+B101)/2, 'Data input'!$C$39:$C$117, -1)+36)=0
        ),
        0,
        INDEX('Data input'!$E:$E, MATCH((A101+B101)/2, 'Data input'!$C$39:$C$117, -1)+36)
        +
        (
            (INDEX('Data input'!$F:$F, MATCH((A101+B101)/2, 'Data input'!$C$39:$C$117, -1)+36)
            -
            INDEX('Data input'!$E:$E, MATCH((A101+B101)/2, 'Data input'!$C$39:$C$117, -1)+36))
            /
            (INDEX('Data input'!$C:$C, MATCH((A101+B101)/2, 'Data input'!$C$39:$C$117, -1)+36)
            -
            IF(
                MATCH((A101+B101)/2, 'Data input'!$C$39:$C$117, -1)+36=41,
                -1000,
                INDEX('Data input'!$C:$C, MATCH((A101+B101)/2, 'Data input'!$C$39:$C$117, -1)+37)
            ))
        )
        *
        (INDEX('Data input'!$C:$C, MATCH((A101+B101)/2, 'Data input'!$C$39:$C$117, -1)+36) - (A101+B101)/2)
    ),
    ""
))/gammacu</f>
        <v>75.219696969696969</v>
      </c>
      <c r="Q101" s="84" cm="1">
        <f t="array" ref="Q101">(IFERROR(
    IF(
        OR(
            INDEX('Data input'!$D:$D, MATCH(B101+0.00001, 'Data input'!$C$39:$C$117, -1)+36)&lt;&gt;"CLAY",
            INDEX('Data input'!$E:$E, MATCH(B101+0.00001, 'Data input'!$C$39:$C$117, -1)+36)=0
        ),
        0,
        INDEX('Data input'!$E:$E, MATCH(B101+0.00001, 'Data input'!$C$39:$C$117, -1)+36)
        +
        (
            (INDEX('Data input'!$F:$F, MATCH(B101+0.00001, 'Data input'!$C$39:$C$117, -1)+36)
            -
            INDEX('Data input'!$E:$E, MATCH(B101+0.00001, 'Data input'!$C$39:$C$117, -1)+36))
            /
            (INDEX('Data input'!$C:$C, MATCH(B101+0.00001, 'Data input'!$C$39:$C$117, -1)+36)
            -
            IF(
                MATCH(B101+0.00001, 'Data input'!$C$39:$C$117, -1)+36=41,
                -1000,
                INDEX('Data input'!$C:$C, MATCH(B101+0.00001, 'Data input'!$C$39:$C$117, -1)+37)
            ))
        )
        *
        (INDEX('Data input'!$C:$C, MATCH(B101+0.00001, 'Data input'!$C$39:$C$117, -1)+36) - B101)
    ),
    ""
))/gammacu</f>
        <v>75.227272727272734</v>
      </c>
      <c r="R101" s="84" t="str">
        <f t="shared" si="33"/>
        <v>-</v>
      </c>
      <c r="S101" s="84" t="str">
        <f t="shared" si="34"/>
        <v>-</v>
      </c>
      <c r="T101" s="84">
        <f t="shared" si="35"/>
        <v>50.740718579126948</v>
      </c>
      <c r="U101" s="84">
        <f t="shared" si="36"/>
        <v>70.416592491584183</v>
      </c>
      <c r="V101" s="84">
        <f t="shared" si="37"/>
        <v>47.179116969361402</v>
      </c>
      <c r="W101" s="84">
        <f t="shared" si="38"/>
        <v>4000</v>
      </c>
      <c r="X101" s="84">
        <f t="shared" si="39"/>
        <v>2193.551698576201</v>
      </c>
      <c r="Y101" s="84">
        <f t="shared" si="40"/>
        <v>4523.8934211693013</v>
      </c>
      <c r="Z101" s="84">
        <f t="shared" si="41"/>
        <v>5767.4275012999478</v>
      </c>
      <c r="AA101" s="84">
        <f t="shared" si="42"/>
        <v>2229.6937328024978</v>
      </c>
      <c r="AB101" s="84">
        <f t="shared" si="43"/>
        <v>70.416592491584183</v>
      </c>
      <c r="AC101" s="84">
        <f t="shared" si="44"/>
        <v>47.179116969361402</v>
      </c>
      <c r="AD101" s="84">
        <f t="shared" si="45"/>
        <v>4000</v>
      </c>
      <c r="AE101" s="84">
        <f t="shared" si="46"/>
        <v>3509.7166006048642</v>
      </c>
      <c r="AF101" s="84">
        <f t="shared" si="47"/>
        <v>4523.8934211693013</v>
      </c>
      <c r="AG101" s="84">
        <f t="shared" si="48"/>
        <v>7083.5924033286119</v>
      </c>
      <c r="AH101" s="84">
        <f t="shared" si="49"/>
        <v>3111.5242171617015</v>
      </c>
    </row>
    <row r="102" spans="1:34" ht="14.1" customHeight="1" x14ac:dyDescent="0.2">
      <c r="A102" s="84">
        <f t="shared" si="27"/>
        <v>-25</v>
      </c>
      <c r="B102" s="84">
        <f t="shared" si="22"/>
        <v>-26</v>
      </c>
      <c r="C102" s="84">
        <f t="shared" si="28"/>
        <v>977.16097897256964</v>
      </c>
      <c r="D102" s="41" t="str">
        <f>INDEX('Data input'!D:D, MATCH(A102, 'Data input'!C:C, -1))</f>
        <v>SAND</v>
      </c>
      <c r="E102" s="84">
        <f>INDEX('Data input'!H:H, MATCH(A102, 'Data input'!C:C, -1))/gammagamma</f>
        <v>20</v>
      </c>
      <c r="F102" s="91">
        <f>INDEX('Data input'!G:G, MATCH(A102, 'Data input'!C:C, -1))/gammaPhi</f>
        <v>34</v>
      </c>
      <c r="G102" s="84">
        <f t="shared" si="29"/>
        <v>299.20500000000004</v>
      </c>
      <c r="H102" s="84">
        <f t="shared" si="30"/>
        <v>304.11</v>
      </c>
      <c r="I102" s="84">
        <f t="shared" si="31"/>
        <v>548.62</v>
      </c>
      <c r="J102" s="84">
        <f t="shared" si="32"/>
        <v>558.62</v>
      </c>
      <c r="K102" s="84">
        <f t="shared" si="23"/>
        <v>249.41499999999996</v>
      </c>
      <c r="L102" s="84">
        <f t="shared" si="24"/>
        <v>254.51</v>
      </c>
      <c r="M102" s="91">
        <f t="shared" si="25"/>
        <v>34</v>
      </c>
      <c r="N102" s="84">
        <f>IF(ISNUMBER(INDEX('Data input'!I:I, MATCH(A102, 'Data input'!C:C, -1))),INDEX('Data input'!I:I, MATCH(A102, 'Data input'!C:C, -1)),1-SIN(RADIANS(F102)))</f>
        <v>0.4408070965292531</v>
      </c>
      <c r="O102" s="84">
        <f t="shared" si="26"/>
        <v>0.29732814089356296</v>
      </c>
      <c r="P102" s="84" cm="1">
        <f t="array" ref="P102">(IFERROR(
    IF(
        OR(
            INDEX('Data input'!$D:$D, MATCH((A102+B102)/2, 'Data input'!$C$39:$C$117, -1)+36)&lt;&gt;"CLAY",
            INDEX('Data input'!$E:$E, MATCH((A102+B102)/2, 'Data input'!$C$39:$C$117, -1)+36)=0
        ),
        0,
        INDEX('Data input'!$E:$E, MATCH((A102+B102)/2, 'Data input'!$C$39:$C$117, -1)+36)
        +
        (
            (INDEX('Data input'!$F:$F, MATCH((A102+B102)/2, 'Data input'!$C$39:$C$117, -1)+36)
            -
            INDEX('Data input'!$E:$E, MATCH((A102+B102)/2, 'Data input'!$C$39:$C$117, -1)+36))
            /
            (INDEX('Data input'!$C:$C, MATCH((A102+B102)/2, 'Data input'!$C$39:$C$117, -1)+36)
            -
            IF(
                MATCH((A102+B102)/2, 'Data input'!$C$39:$C$117, -1)+36=41,
                -1000,
                INDEX('Data input'!$C:$C, MATCH((A102+B102)/2, 'Data input'!$C$39:$C$117, -1)+37)
            ))
        )
        *
        (INDEX('Data input'!$C:$C, MATCH((A102+B102)/2, 'Data input'!$C$39:$C$117, -1)+36) - (A102+B102)/2)
    ),
    ""
))/gammacu</f>
        <v>0</v>
      </c>
      <c r="Q102" s="84" cm="1">
        <f t="array" ref="Q102">(IFERROR(
    IF(
        OR(
            INDEX('Data input'!$D:$D, MATCH(B102+0.00001, 'Data input'!$C$39:$C$117, -1)+36)&lt;&gt;"CLAY",
            INDEX('Data input'!$E:$E, MATCH(B102+0.00001, 'Data input'!$C$39:$C$117, -1)+36)=0
        ),
        0,
        INDEX('Data input'!$E:$E, MATCH(B102+0.00001, 'Data input'!$C$39:$C$117, -1)+36)
        +
        (
            (INDEX('Data input'!$F:$F, MATCH(B102+0.00001, 'Data input'!$C$39:$C$117, -1)+36)
            -
            INDEX('Data input'!$E:$E, MATCH(B102+0.00001, 'Data input'!$C$39:$C$117, -1)+36))
            /
            (INDEX('Data input'!$C:$C, MATCH(B102+0.00001, 'Data input'!$C$39:$C$117, -1)+36)
            -
            IF(
                MATCH(B102+0.00001, 'Data input'!$C$39:$C$117, -1)+36=41,
                -1000,
                INDEX('Data input'!$C:$C, MATCH(B102+0.00001, 'Data input'!$C$39:$C$117, -1)+37)
            ))
        )
        *
        (INDEX('Data input'!$C:$C, MATCH(B102+0.00001, 'Data input'!$C$39:$C$117, -1)+36) - B102)
    ),
    ""
))/gammacu</f>
        <v>0</v>
      </c>
      <c r="R102" s="84" t="str">
        <f t="shared" si="33"/>
        <v>-</v>
      </c>
      <c r="S102" s="84" t="str">
        <f t="shared" si="34"/>
        <v>-</v>
      </c>
      <c r="T102" s="84">
        <f t="shared" si="35"/>
        <v>72.293101961327551</v>
      </c>
      <c r="U102" s="84">
        <f t="shared" si="36"/>
        <v>74.158098260967989</v>
      </c>
      <c r="V102" s="84">
        <f t="shared" si="37"/>
        <v>49.685925834848554</v>
      </c>
      <c r="W102" s="84">
        <f t="shared" si="38"/>
        <v>4000</v>
      </c>
      <c r="X102" s="84">
        <f t="shared" si="39"/>
        <v>2473.1211426172176</v>
      </c>
      <c r="Y102" s="84">
        <f t="shared" si="40"/>
        <v>4523.8934211693013</v>
      </c>
      <c r="Z102" s="84">
        <f t="shared" si="41"/>
        <v>6019.8535848139491</v>
      </c>
      <c r="AA102" s="84">
        <f t="shared" si="42"/>
        <v>2444.1486208369947</v>
      </c>
      <c r="AB102" s="84">
        <f t="shared" si="43"/>
        <v>74.158098260967989</v>
      </c>
      <c r="AC102" s="84">
        <f t="shared" si="44"/>
        <v>49.685925834848554</v>
      </c>
      <c r="AD102" s="84">
        <f t="shared" si="45"/>
        <v>4000</v>
      </c>
      <c r="AE102" s="84">
        <f t="shared" si="46"/>
        <v>3789.2860446458808</v>
      </c>
      <c r="AF102" s="84">
        <f t="shared" si="47"/>
        <v>4523.8934211693013</v>
      </c>
      <c r="AG102" s="84">
        <f t="shared" si="48"/>
        <v>7336.0184868426113</v>
      </c>
      <c r="AH102" s="84">
        <f t="shared" si="49"/>
        <v>3325.9791051961984</v>
      </c>
    </row>
    <row r="103" spans="1:34" ht="12.95" customHeight="1" x14ac:dyDescent="0.2">
      <c r="A103" s="84">
        <f t="shared" si="27"/>
        <v>-26</v>
      </c>
      <c r="B103" s="84">
        <f t="shared" si="22"/>
        <v>-27</v>
      </c>
      <c r="C103" s="84">
        <f t="shared" si="28"/>
        <v>1004.3043394995855</v>
      </c>
      <c r="D103" s="41" t="str">
        <f>INDEX('Data input'!D:D, MATCH(A103, 'Data input'!C:C, -1))</f>
        <v>SAND</v>
      </c>
      <c r="E103" s="84">
        <f>INDEX('Data input'!H:H, MATCH(A103, 'Data input'!C:C, -1))/gammagamma</f>
        <v>20</v>
      </c>
      <c r="F103" s="91">
        <f>INDEX('Data input'!G:G, MATCH(A103, 'Data input'!C:C, -1))/gammaPhi</f>
        <v>34</v>
      </c>
      <c r="G103" s="84">
        <f t="shared" si="29"/>
        <v>309.01500000000004</v>
      </c>
      <c r="H103" s="84">
        <f t="shared" si="30"/>
        <v>313.92</v>
      </c>
      <c r="I103" s="84">
        <f t="shared" si="31"/>
        <v>568.62</v>
      </c>
      <c r="J103" s="84">
        <f t="shared" si="32"/>
        <v>578.62</v>
      </c>
      <c r="K103" s="84">
        <f t="shared" si="23"/>
        <v>259.60499999999996</v>
      </c>
      <c r="L103" s="84">
        <f t="shared" si="24"/>
        <v>264.7</v>
      </c>
      <c r="M103" s="91">
        <f t="shared" si="25"/>
        <v>34</v>
      </c>
      <c r="N103" s="84">
        <f>IF(ISNUMBER(INDEX('Data input'!I:I, MATCH(A103, 'Data input'!C:C, -1))),INDEX('Data input'!I:I, MATCH(A103, 'Data input'!C:C, -1)),1-SIN(RADIANS(F103)))</f>
        <v>0.4408070965292531</v>
      </c>
      <c r="O103" s="84">
        <f t="shared" si="26"/>
        <v>0.29732814089356296</v>
      </c>
      <c r="P103" s="84" cm="1">
        <f t="array" ref="P103">(IFERROR(
    IF(
        OR(
            INDEX('Data input'!$D:$D, MATCH((A103+B103)/2, 'Data input'!$C$39:$C$117, -1)+36)&lt;&gt;"CLAY",
            INDEX('Data input'!$E:$E, MATCH((A103+B103)/2, 'Data input'!$C$39:$C$117, -1)+36)=0
        ),
        0,
        INDEX('Data input'!$E:$E, MATCH((A103+B103)/2, 'Data input'!$C$39:$C$117, -1)+36)
        +
        (
            (INDEX('Data input'!$F:$F, MATCH((A103+B103)/2, 'Data input'!$C$39:$C$117, -1)+36)
            -
            INDEX('Data input'!$E:$E, MATCH((A103+B103)/2, 'Data input'!$C$39:$C$117, -1)+36))
            /
            (INDEX('Data input'!$C:$C, MATCH((A103+B103)/2, 'Data input'!$C$39:$C$117, -1)+36)
            -
            IF(
                MATCH((A103+B103)/2, 'Data input'!$C$39:$C$117, -1)+36=41,
                -1000,
                INDEX('Data input'!$C:$C, MATCH((A103+B103)/2, 'Data input'!$C$39:$C$117, -1)+37)
            ))
        )
        *
        (INDEX('Data input'!$C:$C, MATCH((A103+B103)/2, 'Data input'!$C$39:$C$117, -1)+36) - (A103+B103)/2)
    ),
    ""
))/gammacu</f>
        <v>0</v>
      </c>
      <c r="Q103" s="84" cm="1">
        <f t="array" ref="Q103">(IFERROR(
    IF(
        OR(
            INDEX('Data input'!$D:$D, MATCH(B103+0.00001, 'Data input'!$C$39:$C$117, -1)+36)&lt;&gt;"CLAY",
            INDEX('Data input'!$E:$E, MATCH(B103+0.00001, 'Data input'!$C$39:$C$117, -1)+36)=0
        ),
        0,
        INDEX('Data input'!$E:$E, MATCH(B103+0.00001, 'Data input'!$C$39:$C$117, -1)+36)
        +
        (
            (INDEX('Data input'!$F:$F, MATCH(B103+0.00001, 'Data input'!$C$39:$C$117, -1)+36)
            -
            INDEX('Data input'!$E:$E, MATCH(B103+0.00001, 'Data input'!$C$39:$C$117, -1)+36))
            /
            (INDEX('Data input'!$C:$C, MATCH(B103+0.00001, 'Data input'!$C$39:$C$117, -1)+36)
            -
            IF(
                MATCH(B103+0.00001, 'Data input'!$C$39:$C$117, -1)+36=41,
                -1000,
                INDEX('Data input'!$C:$C, MATCH(B103+0.00001, 'Data input'!$C$39:$C$117, -1)+37)
            ))
        )
        *
        (INDEX('Data input'!$C:$C, MATCH(B103+0.00001, 'Data input'!$C$39:$C$117, -1)+36) - B103)
    ),
    ""
))/gammacu</f>
        <v>0</v>
      </c>
      <c r="R103" s="84" t="str">
        <f t="shared" si="33"/>
        <v>-</v>
      </c>
      <c r="S103" s="84" t="str">
        <f t="shared" si="34"/>
        <v>-</v>
      </c>
      <c r="T103" s="84">
        <f t="shared" si="35"/>
        <v>72.293101961327551</v>
      </c>
      <c r="U103" s="84">
        <f t="shared" si="36"/>
        <v>77.187872016673396</v>
      </c>
      <c r="V103" s="84">
        <f t="shared" si="37"/>
        <v>51.715874251171179</v>
      </c>
      <c r="W103" s="84">
        <f t="shared" si="38"/>
        <v>4000</v>
      </c>
      <c r="X103" s="84">
        <f t="shared" si="39"/>
        <v>2764.1125646257901</v>
      </c>
      <c r="Y103" s="84">
        <f t="shared" si="40"/>
        <v>4523.8934211693013</v>
      </c>
      <c r="Z103" s="84">
        <f t="shared" si="41"/>
        <v>6283.7016462955053</v>
      </c>
      <c r="AA103" s="84">
        <f t="shared" si="42"/>
        <v>2666.2562341097541</v>
      </c>
      <c r="AB103" s="84">
        <f t="shared" si="43"/>
        <v>77.187872016673396</v>
      </c>
      <c r="AC103" s="84">
        <f t="shared" si="44"/>
        <v>51.715874251171179</v>
      </c>
      <c r="AD103" s="84">
        <f t="shared" si="45"/>
        <v>4000</v>
      </c>
      <c r="AE103" s="84">
        <f t="shared" si="46"/>
        <v>4080.2774666544533</v>
      </c>
      <c r="AF103" s="84">
        <f t="shared" si="47"/>
        <v>4523.8934211693013</v>
      </c>
      <c r="AG103" s="84">
        <f t="shared" si="48"/>
        <v>7599.8665483241693</v>
      </c>
      <c r="AH103" s="84">
        <f t="shared" si="49"/>
        <v>3548.0867184689578</v>
      </c>
    </row>
    <row r="104" spans="1:34" ht="12.95" customHeight="1" x14ac:dyDescent="0.2">
      <c r="A104" s="84">
        <f t="shared" si="27"/>
        <v>-27</v>
      </c>
      <c r="B104" s="84">
        <f t="shared" si="22"/>
        <v>-28</v>
      </c>
      <c r="C104" s="84">
        <f t="shared" si="28"/>
        <v>1031.4477000266013</v>
      </c>
      <c r="D104" s="41" t="str">
        <f>INDEX('Data input'!D:D, MATCH(A104, 'Data input'!C:C, -1))</f>
        <v>SAND</v>
      </c>
      <c r="E104" s="84">
        <f>INDEX('Data input'!H:H, MATCH(A104, 'Data input'!C:C, -1))/gammagamma</f>
        <v>20</v>
      </c>
      <c r="F104" s="91">
        <f>INDEX('Data input'!G:G, MATCH(A104, 'Data input'!C:C, -1))/gammaPhi</f>
        <v>34</v>
      </c>
      <c r="G104" s="84">
        <f t="shared" si="29"/>
        <v>318.82499999999999</v>
      </c>
      <c r="H104" s="84">
        <f t="shared" si="30"/>
        <v>323.73</v>
      </c>
      <c r="I104" s="84">
        <f t="shared" si="31"/>
        <v>588.62</v>
      </c>
      <c r="J104" s="84">
        <f t="shared" si="32"/>
        <v>598.62</v>
      </c>
      <c r="K104" s="84">
        <f t="shared" si="23"/>
        <v>269.79500000000002</v>
      </c>
      <c r="L104" s="84">
        <f t="shared" si="24"/>
        <v>274.89</v>
      </c>
      <c r="M104" s="91">
        <f t="shared" si="25"/>
        <v>34</v>
      </c>
      <c r="N104" s="84">
        <f>IF(ISNUMBER(INDEX('Data input'!I:I, MATCH(A104, 'Data input'!C:C, -1))),INDEX('Data input'!I:I, MATCH(A104, 'Data input'!C:C, -1)),1-SIN(RADIANS(F104)))</f>
        <v>0.4408070965292531</v>
      </c>
      <c r="O104" s="84">
        <f t="shared" si="26"/>
        <v>0.29732814089356296</v>
      </c>
      <c r="P104" s="84" cm="1">
        <f t="array" ref="P104">(IFERROR(
    IF(
        OR(
            INDEX('Data input'!$D:$D, MATCH((A104+B104)/2, 'Data input'!$C$39:$C$117, -1)+36)&lt;&gt;"CLAY",
            INDEX('Data input'!$E:$E, MATCH((A104+B104)/2, 'Data input'!$C$39:$C$117, -1)+36)=0
        ),
        0,
        INDEX('Data input'!$E:$E, MATCH((A104+B104)/2, 'Data input'!$C$39:$C$117, -1)+36)
        +
        (
            (INDEX('Data input'!$F:$F, MATCH((A104+B104)/2, 'Data input'!$C$39:$C$117, -1)+36)
            -
            INDEX('Data input'!$E:$E, MATCH((A104+B104)/2, 'Data input'!$C$39:$C$117, -1)+36))
            /
            (INDEX('Data input'!$C:$C, MATCH((A104+B104)/2, 'Data input'!$C$39:$C$117, -1)+36)
            -
            IF(
                MATCH((A104+B104)/2, 'Data input'!$C$39:$C$117, -1)+36=41,
                -1000,
                INDEX('Data input'!$C:$C, MATCH((A104+B104)/2, 'Data input'!$C$39:$C$117, -1)+37)
            ))
        )
        *
        (INDEX('Data input'!$C:$C, MATCH((A104+B104)/2, 'Data input'!$C$39:$C$117, -1)+36) - (A104+B104)/2)
    ),
    ""
))/gammacu</f>
        <v>0</v>
      </c>
      <c r="Q104" s="84" cm="1">
        <f t="array" ref="Q104">(IFERROR(
    IF(
        OR(
            INDEX('Data input'!$D:$D, MATCH(B104+0.00001, 'Data input'!$C$39:$C$117, -1)+36)&lt;&gt;"CLAY",
            INDEX('Data input'!$E:$E, MATCH(B104+0.00001, 'Data input'!$C$39:$C$117, -1)+36)=0
        ),
        0,
        INDEX('Data input'!$E:$E, MATCH(B104+0.00001, 'Data input'!$C$39:$C$117, -1)+36)
        +
        (
            (INDEX('Data input'!$F:$F, MATCH(B104+0.00001, 'Data input'!$C$39:$C$117, -1)+36)
            -
            INDEX('Data input'!$E:$E, MATCH(B104+0.00001, 'Data input'!$C$39:$C$117, -1)+36))
            /
            (INDEX('Data input'!$C:$C, MATCH(B104+0.00001, 'Data input'!$C$39:$C$117, -1)+36)
            -
            IF(
                MATCH(B104+0.00001, 'Data input'!$C$39:$C$117, -1)+36=41,
                -1000,
                INDEX('Data input'!$C:$C, MATCH(B104+0.00001, 'Data input'!$C$39:$C$117, -1)+37)
            ))
        )
        *
        (INDEX('Data input'!$C:$C, MATCH(B104+0.00001, 'Data input'!$C$39:$C$117, -1)+36) - B104)
    ),
    ""
))/gammacu</f>
        <v>0</v>
      </c>
      <c r="R104" s="84" t="str">
        <f t="shared" si="33"/>
        <v>-</v>
      </c>
      <c r="S104" s="84" t="str">
        <f t="shared" si="34"/>
        <v>-</v>
      </c>
      <c r="T104" s="84">
        <f t="shared" si="35"/>
        <v>72.293101961327551</v>
      </c>
      <c r="U104" s="84">
        <f t="shared" si="36"/>
        <v>80.21764577237883</v>
      </c>
      <c r="V104" s="84">
        <f t="shared" si="37"/>
        <v>53.745822667493819</v>
      </c>
      <c r="W104" s="84">
        <f t="shared" si="38"/>
        <v>4000</v>
      </c>
      <c r="X104" s="84">
        <f t="shared" si="39"/>
        <v>3066.5259646019185</v>
      </c>
      <c r="Y104" s="84">
        <f t="shared" si="40"/>
        <v>4523.8934211693013</v>
      </c>
      <c r="Z104" s="84">
        <f t="shared" si="41"/>
        <v>6558.9716857446183</v>
      </c>
      <c r="AA104" s="84">
        <f t="shared" si="42"/>
        <v>2896.0165726207761</v>
      </c>
      <c r="AB104" s="84">
        <f t="shared" si="43"/>
        <v>80.21764577237883</v>
      </c>
      <c r="AC104" s="84">
        <f t="shared" si="44"/>
        <v>53.745822667493819</v>
      </c>
      <c r="AD104" s="84">
        <f t="shared" si="45"/>
        <v>4000</v>
      </c>
      <c r="AE104" s="84">
        <f t="shared" si="46"/>
        <v>4382.6908666305817</v>
      </c>
      <c r="AF104" s="84">
        <f t="shared" si="47"/>
        <v>4523.8934211693013</v>
      </c>
      <c r="AG104" s="84">
        <f t="shared" si="48"/>
        <v>7875.1365877732824</v>
      </c>
      <c r="AH104" s="84">
        <f t="shared" si="49"/>
        <v>3777.8470569799797</v>
      </c>
    </row>
    <row r="105" spans="1:34" ht="12.95" customHeight="1" x14ac:dyDescent="0.2">
      <c r="A105" s="84">
        <f t="shared" si="27"/>
        <v>-28</v>
      </c>
      <c r="B105" s="84">
        <f t="shared" si="22"/>
        <v>-29</v>
      </c>
      <c r="C105" s="84">
        <f t="shared" si="28"/>
        <v>1058.5910605536171</v>
      </c>
      <c r="D105" s="41" t="str">
        <f>INDEX('Data input'!D:D, MATCH(A105, 'Data input'!C:C, -1))</f>
        <v>SAND</v>
      </c>
      <c r="E105" s="84">
        <f>INDEX('Data input'!H:H, MATCH(A105, 'Data input'!C:C, -1))/gammagamma</f>
        <v>20</v>
      </c>
      <c r="F105" s="91">
        <f>INDEX('Data input'!G:G, MATCH(A105, 'Data input'!C:C, -1))/gammaPhi</f>
        <v>34</v>
      </c>
      <c r="G105" s="84">
        <f t="shared" si="29"/>
        <v>328.63499999999999</v>
      </c>
      <c r="H105" s="84">
        <f t="shared" si="30"/>
        <v>333.54</v>
      </c>
      <c r="I105" s="84">
        <f t="shared" si="31"/>
        <v>608.62</v>
      </c>
      <c r="J105" s="84">
        <f t="shared" si="32"/>
        <v>618.62</v>
      </c>
      <c r="K105" s="84">
        <f t="shared" si="23"/>
        <v>279.98500000000001</v>
      </c>
      <c r="L105" s="84">
        <f t="shared" si="24"/>
        <v>285.08</v>
      </c>
      <c r="M105" s="91">
        <f t="shared" si="25"/>
        <v>34</v>
      </c>
      <c r="N105" s="84">
        <f>IF(ISNUMBER(INDEX('Data input'!I:I, MATCH(A105, 'Data input'!C:C, -1))),INDEX('Data input'!I:I, MATCH(A105, 'Data input'!C:C, -1)),1-SIN(RADIANS(F105)))</f>
        <v>0.4408070965292531</v>
      </c>
      <c r="O105" s="84">
        <f t="shared" si="26"/>
        <v>0.29732814089356296</v>
      </c>
      <c r="P105" s="84" cm="1">
        <f t="array" ref="P105">(IFERROR(
    IF(
        OR(
            INDEX('Data input'!$D:$D, MATCH((A105+B105)/2, 'Data input'!$C$39:$C$117, -1)+36)&lt;&gt;"CLAY",
            INDEX('Data input'!$E:$E, MATCH((A105+B105)/2, 'Data input'!$C$39:$C$117, -1)+36)=0
        ),
        0,
        INDEX('Data input'!$E:$E, MATCH((A105+B105)/2, 'Data input'!$C$39:$C$117, -1)+36)
        +
        (
            (INDEX('Data input'!$F:$F, MATCH((A105+B105)/2, 'Data input'!$C$39:$C$117, -1)+36)
            -
            INDEX('Data input'!$E:$E, MATCH((A105+B105)/2, 'Data input'!$C$39:$C$117, -1)+36))
            /
            (INDEX('Data input'!$C:$C, MATCH((A105+B105)/2, 'Data input'!$C$39:$C$117, -1)+36)
            -
            IF(
                MATCH((A105+B105)/2, 'Data input'!$C$39:$C$117, -1)+36=41,
                -1000,
                INDEX('Data input'!$C:$C, MATCH((A105+B105)/2, 'Data input'!$C$39:$C$117, -1)+37)
            ))
        )
        *
        (INDEX('Data input'!$C:$C, MATCH((A105+B105)/2, 'Data input'!$C$39:$C$117, -1)+36) - (A105+B105)/2)
    ),
    ""
))/gammacu</f>
        <v>0</v>
      </c>
      <c r="Q105" s="84" cm="1">
        <f t="array" ref="Q105">(IFERROR(
    IF(
        OR(
            INDEX('Data input'!$D:$D, MATCH(B105+0.00001, 'Data input'!$C$39:$C$117, -1)+36)&lt;&gt;"CLAY",
            INDEX('Data input'!$E:$E, MATCH(B105+0.00001, 'Data input'!$C$39:$C$117, -1)+36)=0
        ),
        0,
        INDEX('Data input'!$E:$E, MATCH(B105+0.00001, 'Data input'!$C$39:$C$117, -1)+36)
        +
        (
            (INDEX('Data input'!$F:$F, MATCH(B105+0.00001, 'Data input'!$C$39:$C$117, -1)+36)
            -
            INDEX('Data input'!$E:$E, MATCH(B105+0.00001, 'Data input'!$C$39:$C$117, -1)+36))
            /
            (INDEX('Data input'!$C:$C, MATCH(B105+0.00001, 'Data input'!$C$39:$C$117, -1)+36)
            -
            IF(
                MATCH(B105+0.00001, 'Data input'!$C$39:$C$117, -1)+36=41,
                -1000,
                INDEX('Data input'!$C:$C, MATCH(B105+0.00001, 'Data input'!$C$39:$C$117, -1)+37)
            ))
        )
        *
        (INDEX('Data input'!$C:$C, MATCH(B105+0.00001, 'Data input'!$C$39:$C$117, -1)+36) - B105)
    ),
    ""
))/gammacu</f>
        <v>0</v>
      </c>
      <c r="R105" s="84" t="str">
        <f t="shared" si="33"/>
        <v>-</v>
      </c>
      <c r="S105" s="84" t="str">
        <f t="shared" si="34"/>
        <v>-</v>
      </c>
      <c r="T105" s="84">
        <f t="shared" si="35"/>
        <v>72.293101961327551</v>
      </c>
      <c r="U105" s="84">
        <f t="shared" si="36"/>
        <v>83.247419528084237</v>
      </c>
      <c r="V105" s="84">
        <f t="shared" si="37"/>
        <v>55.775771083816444</v>
      </c>
      <c r="W105" s="84">
        <f t="shared" si="38"/>
        <v>4000</v>
      </c>
      <c r="X105" s="84">
        <f t="shared" si="39"/>
        <v>3380.3613425456028</v>
      </c>
      <c r="Y105" s="84">
        <f t="shared" si="40"/>
        <v>4523.8934211693013</v>
      </c>
      <c r="Z105" s="84">
        <f t="shared" si="41"/>
        <v>6845.6637031612863</v>
      </c>
      <c r="AA105" s="84">
        <f t="shared" si="42"/>
        <v>3133.4296363700605</v>
      </c>
      <c r="AB105" s="84">
        <f t="shared" si="43"/>
        <v>83.247419528084237</v>
      </c>
      <c r="AC105" s="84">
        <f t="shared" si="44"/>
        <v>55.775771083816444</v>
      </c>
      <c r="AD105" s="84">
        <f t="shared" si="45"/>
        <v>4000</v>
      </c>
      <c r="AE105" s="84">
        <f t="shared" si="46"/>
        <v>4696.5262445742665</v>
      </c>
      <c r="AF105" s="84">
        <f t="shared" si="47"/>
        <v>4523.8934211693013</v>
      </c>
      <c r="AG105" s="84">
        <f t="shared" si="48"/>
        <v>8161.8286051899504</v>
      </c>
      <c r="AH105" s="84">
        <f t="shared" si="49"/>
        <v>4015.2601207292641</v>
      </c>
    </row>
    <row r="106" spans="1:34" ht="12.95" customHeight="1" x14ac:dyDescent="0.2">
      <c r="A106" s="84">
        <f t="shared" si="27"/>
        <v>-29</v>
      </c>
      <c r="B106" s="84">
        <f t="shared" si="22"/>
        <v>-30</v>
      </c>
      <c r="C106" s="84">
        <f t="shared" si="28"/>
        <v>1085.734421080633</v>
      </c>
      <c r="D106" s="41" t="str">
        <f>INDEX('Data input'!D:D, MATCH(A106, 'Data input'!C:C, -1))</f>
        <v>SAND</v>
      </c>
      <c r="E106" s="84">
        <f>INDEX('Data input'!H:H, MATCH(A106, 'Data input'!C:C, -1))/gammagamma</f>
        <v>20</v>
      </c>
      <c r="F106" s="91">
        <f>INDEX('Data input'!G:G, MATCH(A106, 'Data input'!C:C, -1))/gammaPhi</f>
        <v>34</v>
      </c>
      <c r="G106" s="84">
        <f t="shared" si="29"/>
        <v>338.44499999999999</v>
      </c>
      <c r="H106" s="84">
        <f t="shared" si="30"/>
        <v>343.35</v>
      </c>
      <c r="I106" s="84">
        <f t="shared" si="31"/>
        <v>628.62</v>
      </c>
      <c r="J106" s="84">
        <f t="shared" si="32"/>
        <v>638.62</v>
      </c>
      <c r="K106" s="84">
        <f t="shared" si="23"/>
        <v>290.17500000000001</v>
      </c>
      <c r="L106" s="84">
        <f t="shared" si="24"/>
        <v>295.27</v>
      </c>
      <c r="M106" s="91">
        <f t="shared" si="25"/>
        <v>34</v>
      </c>
      <c r="N106" s="84">
        <f>IF(ISNUMBER(INDEX('Data input'!I:I, MATCH(A106, 'Data input'!C:C, -1))),INDEX('Data input'!I:I, MATCH(A106, 'Data input'!C:C, -1)),1-SIN(RADIANS(F106)))</f>
        <v>0.4408070965292531</v>
      </c>
      <c r="O106" s="84">
        <f t="shared" si="26"/>
        <v>0.29732814089356296</v>
      </c>
      <c r="P106" s="84" cm="1">
        <f t="array" ref="P106">(IFERROR(
    IF(
        OR(
            INDEX('Data input'!$D:$D, MATCH((A106+B106)/2, 'Data input'!$C$39:$C$117, -1)+36)&lt;&gt;"CLAY",
            INDEX('Data input'!$E:$E, MATCH((A106+B106)/2, 'Data input'!$C$39:$C$117, -1)+36)=0
        ),
        0,
        INDEX('Data input'!$E:$E, MATCH((A106+B106)/2, 'Data input'!$C$39:$C$117, -1)+36)
        +
        (
            (INDEX('Data input'!$F:$F, MATCH((A106+B106)/2, 'Data input'!$C$39:$C$117, -1)+36)
            -
            INDEX('Data input'!$E:$E, MATCH((A106+B106)/2, 'Data input'!$C$39:$C$117, -1)+36))
            /
            (INDEX('Data input'!$C:$C, MATCH((A106+B106)/2, 'Data input'!$C$39:$C$117, -1)+36)
            -
            IF(
                MATCH((A106+B106)/2, 'Data input'!$C$39:$C$117, -1)+36=41,
                -1000,
                INDEX('Data input'!$C:$C, MATCH((A106+B106)/2, 'Data input'!$C$39:$C$117, -1)+37)
            ))
        )
        *
        (INDEX('Data input'!$C:$C, MATCH((A106+B106)/2, 'Data input'!$C$39:$C$117, -1)+36) - (A106+B106)/2)
    ),
    ""
))/gammacu</f>
        <v>0</v>
      </c>
      <c r="Q106" s="84" cm="1">
        <f t="array" ref="Q106">(IFERROR(
    IF(
        OR(
            INDEX('Data input'!$D:$D, MATCH(B106+0.00001, 'Data input'!$C$39:$C$117, -1)+36)&lt;&gt;"CLAY",
            INDEX('Data input'!$E:$E, MATCH(B106+0.00001, 'Data input'!$C$39:$C$117, -1)+36)=0
        ),
        0,
        INDEX('Data input'!$E:$E, MATCH(B106+0.00001, 'Data input'!$C$39:$C$117, -1)+36)
        +
        (
            (INDEX('Data input'!$F:$F, MATCH(B106+0.00001, 'Data input'!$C$39:$C$117, -1)+36)
            -
            INDEX('Data input'!$E:$E, MATCH(B106+0.00001, 'Data input'!$C$39:$C$117, -1)+36))
            /
            (INDEX('Data input'!$C:$C, MATCH(B106+0.00001, 'Data input'!$C$39:$C$117, -1)+36)
            -
            IF(
                MATCH(B106+0.00001, 'Data input'!$C$39:$C$117, -1)+36=41,
                -1000,
                INDEX('Data input'!$C:$C, MATCH(B106+0.00001, 'Data input'!$C$39:$C$117, -1)+37)
            ))
        )
        *
        (INDEX('Data input'!$C:$C, MATCH(B106+0.00001, 'Data input'!$C$39:$C$117, -1)+36) - B106)
    ),
    ""
))/gammacu</f>
        <v>0</v>
      </c>
      <c r="R106" s="84" t="str">
        <f t="shared" si="33"/>
        <v>-</v>
      </c>
      <c r="S106" s="84" t="str">
        <f t="shared" si="34"/>
        <v>-</v>
      </c>
      <c r="T106" s="84">
        <f t="shared" si="35"/>
        <v>72.293101961327551</v>
      </c>
      <c r="U106" s="84">
        <f t="shared" si="36"/>
        <v>86.277193283789643</v>
      </c>
      <c r="V106" s="84">
        <f t="shared" si="37"/>
        <v>57.805719500139062</v>
      </c>
      <c r="W106" s="84">
        <f t="shared" si="38"/>
        <v>4000</v>
      </c>
      <c r="X106" s="84">
        <f t="shared" si="39"/>
        <v>3705.618698456843</v>
      </c>
      <c r="Y106" s="84">
        <f t="shared" si="40"/>
        <v>4523.8934211693013</v>
      </c>
      <c r="Z106" s="84">
        <f t="shared" si="41"/>
        <v>7143.7776985455112</v>
      </c>
      <c r="AA106" s="84">
        <f t="shared" si="42"/>
        <v>3378.4954253576075</v>
      </c>
      <c r="AB106" s="84">
        <f t="shared" si="43"/>
        <v>86.277193283789643</v>
      </c>
      <c r="AC106" s="84">
        <f t="shared" si="44"/>
        <v>57.805719500139062</v>
      </c>
      <c r="AD106" s="84">
        <f t="shared" si="45"/>
        <v>4000</v>
      </c>
      <c r="AE106" s="84">
        <f t="shared" si="46"/>
        <v>5021.7836004855071</v>
      </c>
      <c r="AF106" s="84">
        <f t="shared" si="47"/>
        <v>4523.8934211693013</v>
      </c>
      <c r="AG106" s="84">
        <f t="shared" si="48"/>
        <v>8459.9426005741752</v>
      </c>
      <c r="AH106" s="84">
        <f t="shared" si="49"/>
        <v>4260.3259097168111</v>
      </c>
    </row>
    <row r="107" spans="1:34" ht="12.95" customHeight="1" x14ac:dyDescent="0.2">
      <c r="A107" s="84">
        <f t="shared" si="27"/>
        <v>-30</v>
      </c>
      <c r="B107" s="84">
        <f t="shared" si="22"/>
        <v>-31</v>
      </c>
      <c r="C107" s="84">
        <f t="shared" si="28"/>
        <v>1112.8777816076488</v>
      </c>
      <c r="D107" s="41" t="str">
        <f>INDEX('Data input'!D:D, MATCH(A107, 'Data input'!C:C, -1))</f>
        <v>SAND</v>
      </c>
      <c r="E107" s="84">
        <f>INDEX('Data input'!H:H, MATCH(A107, 'Data input'!C:C, -1))/gammagamma</f>
        <v>20</v>
      </c>
      <c r="F107" s="91">
        <f>INDEX('Data input'!G:G, MATCH(A107, 'Data input'!C:C, -1))/gammaPhi</f>
        <v>34</v>
      </c>
      <c r="G107" s="84">
        <f t="shared" si="29"/>
        <v>348.255</v>
      </c>
      <c r="H107" s="84">
        <f t="shared" si="30"/>
        <v>353.16</v>
      </c>
      <c r="I107" s="84">
        <f t="shared" si="31"/>
        <v>648.62</v>
      </c>
      <c r="J107" s="84">
        <f t="shared" si="32"/>
        <v>658.62</v>
      </c>
      <c r="K107" s="84">
        <f t="shared" si="23"/>
        <v>300.36500000000001</v>
      </c>
      <c r="L107" s="84">
        <f t="shared" si="24"/>
        <v>305.45999999999998</v>
      </c>
      <c r="M107" s="91">
        <f t="shared" si="25"/>
        <v>34</v>
      </c>
      <c r="N107" s="84">
        <f>IF(ISNUMBER(INDEX('Data input'!I:I, MATCH(A107, 'Data input'!C:C, -1))),INDEX('Data input'!I:I, MATCH(A107, 'Data input'!C:C, -1)),1-SIN(RADIANS(F107)))</f>
        <v>0.4408070965292531</v>
      </c>
      <c r="O107" s="84">
        <f t="shared" si="26"/>
        <v>0.29732814089356296</v>
      </c>
      <c r="P107" s="84" cm="1">
        <f t="array" ref="P107">(IFERROR(
    IF(
        OR(
            INDEX('Data input'!$D:$D, MATCH((A107+B107)/2, 'Data input'!$C$39:$C$117, -1)+36)&lt;&gt;"CLAY",
            INDEX('Data input'!$E:$E, MATCH((A107+B107)/2, 'Data input'!$C$39:$C$117, -1)+36)=0
        ),
        0,
        INDEX('Data input'!$E:$E, MATCH((A107+B107)/2, 'Data input'!$C$39:$C$117, -1)+36)
        +
        (
            (INDEX('Data input'!$F:$F, MATCH((A107+B107)/2, 'Data input'!$C$39:$C$117, -1)+36)
            -
            INDEX('Data input'!$E:$E, MATCH((A107+B107)/2, 'Data input'!$C$39:$C$117, -1)+36))
            /
            (INDEX('Data input'!$C:$C, MATCH((A107+B107)/2, 'Data input'!$C$39:$C$117, -1)+36)
            -
            IF(
                MATCH((A107+B107)/2, 'Data input'!$C$39:$C$117, -1)+36=41,
                -1000,
                INDEX('Data input'!$C:$C, MATCH((A107+B107)/2, 'Data input'!$C$39:$C$117, -1)+37)
            ))
        )
        *
        (INDEX('Data input'!$C:$C, MATCH((A107+B107)/2, 'Data input'!$C$39:$C$117, -1)+36) - (A107+B107)/2)
    ),
    ""
))/gammacu</f>
        <v>0</v>
      </c>
      <c r="Q107" s="84" cm="1">
        <f t="array" ref="Q107">(IFERROR(
    IF(
        OR(
            INDEX('Data input'!$D:$D, MATCH(B107+0.00001, 'Data input'!$C$39:$C$117, -1)+36)&lt;&gt;"CLAY",
            INDEX('Data input'!$E:$E, MATCH(B107+0.00001, 'Data input'!$C$39:$C$117, -1)+36)=0
        ),
        0,
        INDEX('Data input'!$E:$E, MATCH(B107+0.00001, 'Data input'!$C$39:$C$117, -1)+36)
        +
        (
            (INDEX('Data input'!$F:$F, MATCH(B107+0.00001, 'Data input'!$C$39:$C$117, -1)+36)
            -
            INDEX('Data input'!$E:$E, MATCH(B107+0.00001, 'Data input'!$C$39:$C$117, -1)+36))
            /
            (INDEX('Data input'!$C:$C, MATCH(B107+0.00001, 'Data input'!$C$39:$C$117, -1)+36)
            -
            IF(
                MATCH(B107+0.00001, 'Data input'!$C$39:$C$117, -1)+36=41,
                -1000,
                INDEX('Data input'!$C:$C, MATCH(B107+0.00001, 'Data input'!$C$39:$C$117, -1)+37)
            ))
        )
        *
        (INDEX('Data input'!$C:$C, MATCH(B107+0.00001, 'Data input'!$C$39:$C$117, -1)+36) - B107)
    ),
    ""
))/gammacu</f>
        <v>0</v>
      </c>
      <c r="R107" s="84" t="str">
        <f t="shared" si="33"/>
        <v>-</v>
      </c>
      <c r="S107" s="84" t="str">
        <f t="shared" si="34"/>
        <v>-</v>
      </c>
      <c r="T107" s="84">
        <f t="shared" si="35"/>
        <v>72.293101961327551</v>
      </c>
      <c r="U107" s="84">
        <f t="shared" si="36"/>
        <v>89.306967039495049</v>
      </c>
      <c r="V107" s="84">
        <f t="shared" si="37"/>
        <v>59.835667916461688</v>
      </c>
      <c r="W107" s="84">
        <f t="shared" si="38"/>
        <v>4000</v>
      </c>
      <c r="X107" s="84">
        <f t="shared" si="39"/>
        <v>4042.2980323356392</v>
      </c>
      <c r="Y107" s="84">
        <f t="shared" si="40"/>
        <v>4523.8934211693013</v>
      </c>
      <c r="Z107" s="84">
        <f t="shared" si="41"/>
        <v>7453.313671897291</v>
      </c>
      <c r="AA107" s="84">
        <f t="shared" si="42"/>
        <v>3631.2139395834165</v>
      </c>
      <c r="AB107" s="84">
        <f t="shared" si="43"/>
        <v>89.306967039495049</v>
      </c>
      <c r="AC107" s="84">
        <f t="shared" si="44"/>
        <v>59.835667916461688</v>
      </c>
      <c r="AD107" s="84">
        <f t="shared" si="45"/>
        <v>4000</v>
      </c>
      <c r="AE107" s="84">
        <f t="shared" si="46"/>
        <v>5358.4629343643028</v>
      </c>
      <c r="AF107" s="84">
        <f t="shared" si="47"/>
        <v>4523.8934211693013</v>
      </c>
      <c r="AG107" s="84">
        <f t="shared" si="48"/>
        <v>8769.4785739259551</v>
      </c>
      <c r="AH107" s="84">
        <f t="shared" si="49"/>
        <v>4513.0444239426206</v>
      </c>
    </row>
    <row r="108" spans="1:34" ht="12.95" customHeight="1" x14ac:dyDescent="0.2">
      <c r="A108" s="84">
        <f t="shared" ref="A108:A116" si="50">B107</f>
        <v>-31</v>
      </c>
      <c r="B108" s="84">
        <f t="shared" ref="B108:B115" si="51">A108-1</f>
        <v>-32</v>
      </c>
      <c r="C108" s="84">
        <f t="shared" si="28"/>
        <v>1140.0211421346646</v>
      </c>
      <c r="D108" s="41" t="str">
        <f>INDEX('Data input'!D:D, MATCH(A108, 'Data input'!C:C, -1))</f>
        <v>SAND</v>
      </c>
      <c r="E108" s="84">
        <f>INDEX('Data input'!H:H, MATCH(A108, 'Data input'!C:C, -1))/gammagamma</f>
        <v>20</v>
      </c>
      <c r="F108" s="91">
        <f>INDEX('Data input'!G:G, MATCH(A108, 'Data input'!C:C, -1))/gammaPhi</f>
        <v>34</v>
      </c>
      <c r="G108" s="84">
        <f t="shared" si="29"/>
        <v>358.065</v>
      </c>
      <c r="H108" s="84">
        <f t="shared" si="30"/>
        <v>362.97</v>
      </c>
      <c r="I108" s="84">
        <f t="shared" si="31"/>
        <v>668.62</v>
      </c>
      <c r="J108" s="84">
        <f t="shared" si="32"/>
        <v>678.62</v>
      </c>
      <c r="K108" s="84">
        <f t="shared" ref="K108:K116" si="52">I108-G108</f>
        <v>310.55500000000001</v>
      </c>
      <c r="L108" s="84">
        <f t="shared" ref="L108:L116" si="53">J108-H108</f>
        <v>315.64999999999998</v>
      </c>
      <c r="M108" s="91">
        <f t="shared" si="25"/>
        <v>34</v>
      </c>
      <c r="N108" s="84">
        <f>IF(ISNUMBER(INDEX('Data input'!I:I, MATCH(A108, 'Data input'!C:C, -1))),INDEX('Data input'!I:I, MATCH(A108, 'Data input'!C:C, -1)),1-SIN(RADIANS(F108)))</f>
        <v>0.4408070965292531</v>
      </c>
      <c r="O108" s="84">
        <f t="shared" ref="O108:O116" si="54">N108*TAN(RADIANS(M108))</f>
        <v>0.29732814089356296</v>
      </c>
      <c r="P108" s="84" cm="1">
        <f t="array" ref="P108">(IFERROR(
    IF(
        OR(
            INDEX('Data input'!$D:$D, MATCH((A108+B108)/2, 'Data input'!$C$39:$C$117, -1)+36)&lt;&gt;"CLAY",
            INDEX('Data input'!$E:$E, MATCH((A108+B108)/2, 'Data input'!$C$39:$C$117, -1)+36)=0
        ),
        0,
        INDEX('Data input'!$E:$E, MATCH((A108+B108)/2, 'Data input'!$C$39:$C$117, -1)+36)
        +
        (
            (INDEX('Data input'!$F:$F, MATCH((A108+B108)/2, 'Data input'!$C$39:$C$117, -1)+36)
            -
            INDEX('Data input'!$E:$E, MATCH((A108+B108)/2, 'Data input'!$C$39:$C$117, -1)+36))
            /
            (INDEX('Data input'!$C:$C, MATCH((A108+B108)/2, 'Data input'!$C$39:$C$117, -1)+36)
            -
            IF(
                MATCH((A108+B108)/2, 'Data input'!$C$39:$C$117, -1)+36=41,
                -1000,
                INDEX('Data input'!$C:$C, MATCH((A108+B108)/2, 'Data input'!$C$39:$C$117, -1)+37)
            ))
        )
        *
        (INDEX('Data input'!$C:$C, MATCH((A108+B108)/2, 'Data input'!$C$39:$C$117, -1)+36) - (A108+B108)/2)
    ),
    ""
))/gammacu</f>
        <v>0</v>
      </c>
      <c r="Q108" s="84" cm="1">
        <f t="array" ref="Q108">(IFERROR(
    IF(
        OR(
            INDEX('Data input'!$D:$D, MATCH(B108+0.00001, 'Data input'!$C$39:$C$117, -1)+36)&lt;&gt;"CLAY",
            INDEX('Data input'!$E:$E, MATCH(B108+0.00001, 'Data input'!$C$39:$C$117, -1)+36)=0
        ),
        0,
        INDEX('Data input'!$E:$E, MATCH(B108+0.00001, 'Data input'!$C$39:$C$117, -1)+36)
        +
        (
            (INDEX('Data input'!$F:$F, MATCH(B108+0.00001, 'Data input'!$C$39:$C$117, -1)+36)
            -
            INDEX('Data input'!$E:$E, MATCH(B108+0.00001, 'Data input'!$C$39:$C$117, -1)+36))
            /
            (INDEX('Data input'!$C:$C, MATCH(B108+0.00001, 'Data input'!$C$39:$C$117, -1)+36)
            -
            IF(
                MATCH(B108+0.00001, 'Data input'!$C$39:$C$117, -1)+36=41,
                -1000,
                INDEX('Data input'!$C:$C, MATCH(B108+0.00001, 'Data input'!$C$39:$C$117, -1)+37)
            ))
        )
        *
        (INDEX('Data input'!$C:$C, MATCH(B108+0.00001, 'Data input'!$C$39:$C$117, -1)+36) - B108)
    ),
    ""
))/gammacu</f>
        <v>0</v>
      </c>
      <c r="R108" s="84" t="str">
        <f t="shared" si="33"/>
        <v>-</v>
      </c>
      <c r="S108" s="84" t="str">
        <f t="shared" si="34"/>
        <v>-</v>
      </c>
      <c r="T108" s="84">
        <f t="shared" si="35"/>
        <v>72.293101961327551</v>
      </c>
      <c r="U108" s="84">
        <f t="shared" si="36"/>
        <v>92.336740795200456</v>
      </c>
      <c r="V108" s="84">
        <f t="shared" si="37"/>
        <v>61.865616332784306</v>
      </c>
      <c r="W108" s="84">
        <f t="shared" si="38"/>
        <v>4000</v>
      </c>
      <c r="X108" s="84">
        <f t="shared" si="39"/>
        <v>4390.3993441819912</v>
      </c>
      <c r="Y108" s="84">
        <f t="shared" si="40"/>
        <v>4523.8934211693013</v>
      </c>
      <c r="Z108" s="84">
        <f t="shared" si="41"/>
        <v>7774.2716232166276</v>
      </c>
      <c r="AA108" s="84">
        <f t="shared" si="42"/>
        <v>3891.5851790474881</v>
      </c>
      <c r="AB108" s="84">
        <f t="shared" si="43"/>
        <v>92.336740795200456</v>
      </c>
      <c r="AC108" s="84">
        <f t="shared" si="44"/>
        <v>61.865616332784306</v>
      </c>
      <c r="AD108" s="84">
        <f t="shared" si="45"/>
        <v>4000</v>
      </c>
      <c r="AE108" s="84">
        <f t="shared" si="46"/>
        <v>5706.5642462106553</v>
      </c>
      <c r="AF108" s="84">
        <f t="shared" si="47"/>
        <v>4523.8934211693013</v>
      </c>
      <c r="AG108" s="84">
        <f t="shared" si="48"/>
        <v>9090.4365252452917</v>
      </c>
      <c r="AH108" s="84">
        <f t="shared" si="49"/>
        <v>4773.4156634066921</v>
      </c>
    </row>
    <row r="109" spans="1:34" ht="12.95" customHeight="1" x14ac:dyDescent="0.2">
      <c r="A109" s="84">
        <f t="shared" si="50"/>
        <v>-32</v>
      </c>
      <c r="B109" s="84">
        <f t="shared" si="51"/>
        <v>-33</v>
      </c>
      <c r="C109" s="84">
        <f t="shared" si="28"/>
        <v>1167.1645026616804</v>
      </c>
      <c r="D109" s="41" t="str">
        <f>INDEX('Data input'!D:D, MATCH(A109, 'Data input'!C:C, -1))</f>
        <v>SAND</v>
      </c>
      <c r="E109" s="84">
        <f>INDEX('Data input'!H:H, MATCH(A109, 'Data input'!C:C, -1))/gammagamma</f>
        <v>20</v>
      </c>
      <c r="F109" s="91">
        <f>INDEX('Data input'!G:G, MATCH(A109, 'Data input'!C:C, -1))/gammaPhi</f>
        <v>34</v>
      </c>
      <c r="G109" s="84">
        <f t="shared" si="29"/>
        <v>367.875</v>
      </c>
      <c r="H109" s="84">
        <f t="shared" si="30"/>
        <v>372.78000000000003</v>
      </c>
      <c r="I109" s="84">
        <f t="shared" si="31"/>
        <v>688.62</v>
      </c>
      <c r="J109" s="84">
        <f t="shared" si="32"/>
        <v>698.62</v>
      </c>
      <c r="K109" s="84">
        <f t="shared" si="52"/>
        <v>320.745</v>
      </c>
      <c r="L109" s="84">
        <f t="shared" si="53"/>
        <v>325.83999999999997</v>
      </c>
      <c r="M109" s="91">
        <f t="shared" si="25"/>
        <v>34</v>
      </c>
      <c r="N109" s="84">
        <f>IF(ISNUMBER(INDEX('Data input'!I:I, MATCH(A109, 'Data input'!C:C, -1))),INDEX('Data input'!I:I, MATCH(A109, 'Data input'!C:C, -1)),1-SIN(RADIANS(F109)))</f>
        <v>0.4408070965292531</v>
      </c>
      <c r="O109" s="84">
        <f t="shared" si="54"/>
        <v>0.29732814089356296</v>
      </c>
      <c r="P109" s="84" cm="1">
        <f t="array" ref="P109">(IFERROR(
    IF(
        OR(
            INDEX('Data input'!$D:$D, MATCH((A109+B109)/2, 'Data input'!$C$39:$C$117, -1)+36)&lt;&gt;"CLAY",
            INDEX('Data input'!$E:$E, MATCH((A109+B109)/2, 'Data input'!$C$39:$C$117, -1)+36)=0
        ),
        0,
        INDEX('Data input'!$E:$E, MATCH((A109+B109)/2, 'Data input'!$C$39:$C$117, -1)+36)
        +
        (
            (INDEX('Data input'!$F:$F, MATCH((A109+B109)/2, 'Data input'!$C$39:$C$117, -1)+36)
            -
            INDEX('Data input'!$E:$E, MATCH((A109+B109)/2, 'Data input'!$C$39:$C$117, -1)+36))
            /
            (INDEX('Data input'!$C:$C, MATCH((A109+B109)/2, 'Data input'!$C$39:$C$117, -1)+36)
            -
            IF(
                MATCH((A109+B109)/2, 'Data input'!$C$39:$C$117, -1)+36=41,
                -1000,
                INDEX('Data input'!$C:$C, MATCH((A109+B109)/2, 'Data input'!$C$39:$C$117, -1)+37)
            ))
        )
        *
        (INDEX('Data input'!$C:$C, MATCH((A109+B109)/2, 'Data input'!$C$39:$C$117, -1)+36) - (A109+B109)/2)
    ),
    ""
))/gammacu</f>
        <v>0</v>
      </c>
      <c r="Q109" s="84" cm="1">
        <f t="array" ref="Q109">(IFERROR(
    IF(
        OR(
            INDEX('Data input'!$D:$D, MATCH(B109+0.00001, 'Data input'!$C$39:$C$117, -1)+36)&lt;&gt;"CLAY",
            INDEX('Data input'!$E:$E, MATCH(B109+0.00001, 'Data input'!$C$39:$C$117, -1)+36)=0
        ),
        0,
        INDEX('Data input'!$E:$E, MATCH(B109+0.00001, 'Data input'!$C$39:$C$117, -1)+36)
        +
        (
            (INDEX('Data input'!$F:$F, MATCH(B109+0.00001, 'Data input'!$C$39:$C$117, -1)+36)
            -
            INDEX('Data input'!$E:$E, MATCH(B109+0.00001, 'Data input'!$C$39:$C$117, -1)+36))
            /
            (INDEX('Data input'!$C:$C, MATCH(B109+0.00001, 'Data input'!$C$39:$C$117, -1)+36)
            -
            IF(
                MATCH(B109+0.00001, 'Data input'!$C$39:$C$117, -1)+36=41,
                -1000,
                INDEX('Data input'!$C:$C, MATCH(B109+0.00001, 'Data input'!$C$39:$C$117, -1)+37)
            ))
        )
        *
        (INDEX('Data input'!$C:$C, MATCH(B109+0.00001, 'Data input'!$C$39:$C$117, -1)+36) - B109)
    ),
    ""
))/gammacu</f>
        <v>0</v>
      </c>
      <c r="R109" s="84" t="str">
        <f t="shared" si="33"/>
        <v>-</v>
      </c>
      <c r="S109" s="84" t="str">
        <f t="shared" si="34"/>
        <v>-</v>
      </c>
      <c r="T109" s="84">
        <f t="shared" si="35"/>
        <v>72.293101961327551</v>
      </c>
      <c r="U109" s="84">
        <f t="shared" si="36"/>
        <v>95.366514550905848</v>
      </c>
      <c r="V109" s="84">
        <f t="shared" si="37"/>
        <v>63.895564749106924</v>
      </c>
      <c r="W109" s="84">
        <f t="shared" si="38"/>
        <v>4000</v>
      </c>
      <c r="X109" s="84">
        <f t="shared" si="39"/>
        <v>4749.9226339958987</v>
      </c>
      <c r="Y109" s="84">
        <f t="shared" si="40"/>
        <v>4523.8934211693013</v>
      </c>
      <c r="Z109" s="84">
        <f t="shared" si="41"/>
        <v>8106.6515525035193</v>
      </c>
      <c r="AA109" s="84">
        <f t="shared" si="42"/>
        <v>4159.6091437498226</v>
      </c>
      <c r="AB109" s="84">
        <f t="shared" si="43"/>
        <v>95.366514550905848</v>
      </c>
      <c r="AC109" s="84">
        <f t="shared" si="44"/>
        <v>63.895564749106924</v>
      </c>
      <c r="AD109" s="84">
        <f t="shared" si="45"/>
        <v>4000</v>
      </c>
      <c r="AE109" s="84">
        <f t="shared" si="46"/>
        <v>6066.0875360245627</v>
      </c>
      <c r="AF109" s="84">
        <f t="shared" si="47"/>
        <v>4523.8934211693013</v>
      </c>
      <c r="AG109" s="84">
        <f t="shared" si="48"/>
        <v>9422.8164545321833</v>
      </c>
      <c r="AH109" s="84">
        <f t="shared" si="49"/>
        <v>5041.4396281090267</v>
      </c>
    </row>
    <row r="110" spans="1:34" ht="12.95" customHeight="1" x14ac:dyDescent="0.2">
      <c r="A110" s="84">
        <f t="shared" si="50"/>
        <v>-33</v>
      </c>
      <c r="B110" s="84">
        <f t="shared" si="51"/>
        <v>-34</v>
      </c>
      <c r="C110" s="84">
        <f t="shared" si="28"/>
        <v>1194.3078631886963</v>
      </c>
      <c r="D110" s="41" t="str">
        <f>INDEX('Data input'!D:D, MATCH(A110, 'Data input'!C:C, -1))</f>
        <v>SAND</v>
      </c>
      <c r="E110" s="84">
        <f>INDEX('Data input'!H:H, MATCH(A110, 'Data input'!C:C, -1))/gammagamma</f>
        <v>20</v>
      </c>
      <c r="F110" s="91">
        <f>INDEX('Data input'!G:G, MATCH(A110, 'Data input'!C:C, -1))/gammaPhi</f>
        <v>34</v>
      </c>
      <c r="G110" s="84">
        <f t="shared" si="29"/>
        <v>377.685</v>
      </c>
      <c r="H110" s="84">
        <f t="shared" si="30"/>
        <v>382.59000000000003</v>
      </c>
      <c r="I110" s="84">
        <f t="shared" si="31"/>
        <v>708.62</v>
      </c>
      <c r="J110" s="84">
        <f t="shared" si="32"/>
        <v>718.62</v>
      </c>
      <c r="K110" s="84">
        <f t="shared" si="52"/>
        <v>330.935</v>
      </c>
      <c r="L110" s="84">
        <f t="shared" si="53"/>
        <v>336.03</v>
      </c>
      <c r="M110" s="91">
        <f t="shared" si="25"/>
        <v>34</v>
      </c>
      <c r="N110" s="84">
        <f>IF(ISNUMBER(INDEX('Data input'!I:I, MATCH(A110, 'Data input'!C:C, -1))),INDEX('Data input'!I:I, MATCH(A110, 'Data input'!C:C, -1)),1-SIN(RADIANS(F110)))</f>
        <v>0.4408070965292531</v>
      </c>
      <c r="O110" s="84">
        <f t="shared" si="54"/>
        <v>0.29732814089356296</v>
      </c>
      <c r="P110" s="84" cm="1">
        <f t="array" ref="P110">(IFERROR(
    IF(
        OR(
            INDEX('Data input'!$D:$D, MATCH((A110+B110)/2, 'Data input'!$C$39:$C$117, -1)+36)&lt;&gt;"CLAY",
            INDEX('Data input'!$E:$E, MATCH((A110+B110)/2, 'Data input'!$C$39:$C$117, -1)+36)=0
        ),
        0,
        INDEX('Data input'!$E:$E, MATCH((A110+B110)/2, 'Data input'!$C$39:$C$117, -1)+36)
        +
        (
            (INDEX('Data input'!$F:$F, MATCH((A110+B110)/2, 'Data input'!$C$39:$C$117, -1)+36)
            -
            INDEX('Data input'!$E:$E, MATCH((A110+B110)/2, 'Data input'!$C$39:$C$117, -1)+36))
            /
            (INDEX('Data input'!$C:$C, MATCH((A110+B110)/2, 'Data input'!$C$39:$C$117, -1)+36)
            -
            IF(
                MATCH((A110+B110)/2, 'Data input'!$C$39:$C$117, -1)+36=41,
                -1000,
                INDEX('Data input'!$C:$C, MATCH((A110+B110)/2, 'Data input'!$C$39:$C$117, -1)+37)
            ))
        )
        *
        (INDEX('Data input'!$C:$C, MATCH((A110+B110)/2, 'Data input'!$C$39:$C$117, -1)+36) - (A110+B110)/2)
    ),
    ""
))/gammacu</f>
        <v>0</v>
      </c>
      <c r="Q110" s="84" cm="1">
        <f t="array" ref="Q110">(IFERROR(
    IF(
        OR(
            INDEX('Data input'!$D:$D, MATCH(B110+0.00001, 'Data input'!$C$39:$C$117, -1)+36)&lt;&gt;"CLAY",
            INDEX('Data input'!$E:$E, MATCH(B110+0.00001, 'Data input'!$C$39:$C$117, -1)+36)=0
        ),
        0,
        INDEX('Data input'!$E:$E, MATCH(B110+0.00001, 'Data input'!$C$39:$C$117, -1)+36)
        +
        (
            (INDEX('Data input'!$F:$F, MATCH(B110+0.00001, 'Data input'!$C$39:$C$117, -1)+36)
            -
            INDEX('Data input'!$E:$E, MATCH(B110+0.00001, 'Data input'!$C$39:$C$117, -1)+36))
            /
            (INDEX('Data input'!$C:$C, MATCH(B110+0.00001, 'Data input'!$C$39:$C$117, -1)+36)
            -
            IF(
                MATCH(B110+0.00001, 'Data input'!$C$39:$C$117, -1)+36=41,
                -1000,
                INDEX('Data input'!$C:$C, MATCH(B110+0.00001, 'Data input'!$C$39:$C$117, -1)+37)
            ))
        )
        *
        (INDEX('Data input'!$C:$C, MATCH(B110+0.00001, 'Data input'!$C$39:$C$117, -1)+36) - B110)
    ),
    ""
))/gammacu</f>
        <v>0</v>
      </c>
      <c r="R110" s="84" t="str">
        <f t="shared" si="33"/>
        <v>-</v>
      </c>
      <c r="S110" s="84" t="str">
        <f t="shared" si="34"/>
        <v>-</v>
      </c>
      <c r="T110" s="84">
        <f t="shared" si="35"/>
        <v>72.293101961327551</v>
      </c>
      <c r="U110" s="84">
        <f t="shared" si="36"/>
        <v>98.396288306611254</v>
      </c>
      <c r="V110" s="84">
        <f t="shared" si="37"/>
        <v>65.92551316542955</v>
      </c>
      <c r="W110" s="84">
        <f t="shared" si="38"/>
        <v>4000</v>
      </c>
      <c r="X110" s="84">
        <f t="shared" si="39"/>
        <v>5120.8679017773629</v>
      </c>
      <c r="Y110" s="84">
        <f t="shared" si="40"/>
        <v>4523.8934211693013</v>
      </c>
      <c r="Z110" s="84">
        <f t="shared" si="41"/>
        <v>8450.4534597579677</v>
      </c>
      <c r="AA110" s="84">
        <f t="shared" si="42"/>
        <v>4435.2858336904192</v>
      </c>
      <c r="AB110" s="84">
        <f t="shared" si="43"/>
        <v>98.396288306611254</v>
      </c>
      <c r="AC110" s="84">
        <f t="shared" si="44"/>
        <v>65.92551316542955</v>
      </c>
      <c r="AD110" s="84">
        <f t="shared" si="45"/>
        <v>4000</v>
      </c>
      <c r="AE110" s="84">
        <f t="shared" si="46"/>
        <v>6437.032803806027</v>
      </c>
      <c r="AF110" s="84">
        <f t="shared" si="47"/>
        <v>4523.8934211693013</v>
      </c>
      <c r="AG110" s="84">
        <f t="shared" si="48"/>
        <v>9766.6183617866318</v>
      </c>
      <c r="AH110" s="84">
        <f t="shared" si="49"/>
        <v>5317.1163180496233</v>
      </c>
    </row>
    <row r="111" spans="1:34" ht="12.95" customHeight="1" x14ac:dyDescent="0.2">
      <c r="A111" s="84">
        <f t="shared" si="50"/>
        <v>-34</v>
      </c>
      <c r="B111" s="84">
        <f t="shared" si="51"/>
        <v>-35</v>
      </c>
      <c r="C111" s="84">
        <f t="shared" si="28"/>
        <v>1221.4512237157121</v>
      </c>
      <c r="D111" s="41" t="str">
        <f>INDEX('Data input'!D:D, MATCH(A111, 'Data input'!C:C, -1))</f>
        <v>SAND</v>
      </c>
      <c r="E111" s="84">
        <f>INDEX('Data input'!H:H, MATCH(A111, 'Data input'!C:C, -1))/gammagamma</f>
        <v>20</v>
      </c>
      <c r="F111" s="91">
        <f>INDEX('Data input'!G:G, MATCH(A111, 'Data input'!C:C, -1))/gammaPhi</f>
        <v>34</v>
      </c>
      <c r="G111" s="84">
        <f t="shared" si="29"/>
        <v>387.495</v>
      </c>
      <c r="H111" s="84">
        <f t="shared" si="30"/>
        <v>392.40000000000003</v>
      </c>
      <c r="I111" s="84">
        <f t="shared" si="31"/>
        <v>728.62</v>
      </c>
      <c r="J111" s="84">
        <f t="shared" si="32"/>
        <v>738.62</v>
      </c>
      <c r="K111" s="84">
        <f t="shared" si="52"/>
        <v>341.125</v>
      </c>
      <c r="L111" s="84">
        <f t="shared" si="53"/>
        <v>346.21999999999997</v>
      </c>
      <c r="M111" s="91">
        <f t="shared" si="25"/>
        <v>34</v>
      </c>
      <c r="N111" s="84">
        <f>IF(ISNUMBER(INDEX('Data input'!I:I, MATCH(A111, 'Data input'!C:C, -1))),INDEX('Data input'!I:I, MATCH(A111, 'Data input'!C:C, -1)),1-SIN(RADIANS(F111)))</f>
        <v>0.4408070965292531</v>
      </c>
      <c r="O111" s="84">
        <f t="shared" si="54"/>
        <v>0.29732814089356296</v>
      </c>
      <c r="P111" s="84" cm="1">
        <f t="array" ref="P111">(IFERROR(
    IF(
        OR(
            INDEX('Data input'!$D:$D, MATCH((A111+B111)/2, 'Data input'!$C$39:$C$117, -1)+36)&lt;&gt;"CLAY",
            INDEX('Data input'!$E:$E, MATCH((A111+B111)/2, 'Data input'!$C$39:$C$117, -1)+36)=0
        ),
        0,
        INDEX('Data input'!$E:$E, MATCH((A111+B111)/2, 'Data input'!$C$39:$C$117, -1)+36)
        +
        (
            (INDEX('Data input'!$F:$F, MATCH((A111+B111)/2, 'Data input'!$C$39:$C$117, -1)+36)
            -
            INDEX('Data input'!$E:$E, MATCH((A111+B111)/2, 'Data input'!$C$39:$C$117, -1)+36))
            /
            (INDEX('Data input'!$C:$C, MATCH((A111+B111)/2, 'Data input'!$C$39:$C$117, -1)+36)
            -
            IF(
                MATCH((A111+B111)/2, 'Data input'!$C$39:$C$117, -1)+36=41,
                -1000,
                INDEX('Data input'!$C:$C, MATCH((A111+B111)/2, 'Data input'!$C$39:$C$117, -1)+37)
            ))
        )
        *
        (INDEX('Data input'!$C:$C, MATCH((A111+B111)/2, 'Data input'!$C$39:$C$117, -1)+36) - (A111+B111)/2)
    ),
    ""
))/gammacu</f>
        <v>0</v>
      </c>
      <c r="Q111" s="84" cm="1">
        <f t="array" ref="Q111">(IFERROR(
    IF(
        OR(
            INDEX('Data input'!$D:$D, MATCH(B111+0.00001, 'Data input'!$C$39:$C$117, -1)+36)&lt;&gt;"CLAY",
            INDEX('Data input'!$E:$E, MATCH(B111+0.00001, 'Data input'!$C$39:$C$117, -1)+36)=0
        ),
        0,
        INDEX('Data input'!$E:$E, MATCH(B111+0.00001, 'Data input'!$C$39:$C$117, -1)+36)
        +
        (
            (INDEX('Data input'!$F:$F, MATCH(B111+0.00001, 'Data input'!$C$39:$C$117, -1)+36)
            -
            INDEX('Data input'!$E:$E, MATCH(B111+0.00001, 'Data input'!$C$39:$C$117, -1)+36))
            /
            (INDEX('Data input'!$C:$C, MATCH(B111+0.00001, 'Data input'!$C$39:$C$117, -1)+36)
            -
            IF(
                MATCH(B111+0.00001, 'Data input'!$C$39:$C$117, -1)+36=41,
                -1000,
                INDEX('Data input'!$C:$C, MATCH(B111+0.00001, 'Data input'!$C$39:$C$117, -1)+37)
            ))
        )
        *
        (INDEX('Data input'!$C:$C, MATCH(B111+0.00001, 'Data input'!$C$39:$C$117, -1)+36) - B111)
    ),
    ""
))/gammacu</f>
        <v>0</v>
      </c>
      <c r="R111" s="84" t="str">
        <f t="shared" si="33"/>
        <v>-</v>
      </c>
      <c r="S111" s="84" t="str">
        <f t="shared" si="34"/>
        <v>-</v>
      </c>
      <c r="T111" s="84">
        <f t="shared" si="35"/>
        <v>72.293101961327551</v>
      </c>
      <c r="U111" s="84">
        <f t="shared" si="36"/>
        <v>100</v>
      </c>
      <c r="V111" s="84">
        <f t="shared" si="37"/>
        <v>67</v>
      </c>
      <c r="W111" s="84">
        <f t="shared" si="38"/>
        <v>4000</v>
      </c>
      <c r="X111" s="84">
        <f t="shared" si="39"/>
        <v>5497.8590202081377</v>
      </c>
      <c r="Y111" s="84">
        <f t="shared" si="40"/>
        <v>4523.8934211693013</v>
      </c>
      <c r="Z111" s="84">
        <f t="shared" si="41"/>
        <v>8800.3012176617267</v>
      </c>
      <c r="AA111" s="84">
        <f t="shared" si="42"/>
        <v>4715.0132435660544</v>
      </c>
      <c r="AB111" s="84">
        <f t="shared" si="43"/>
        <v>100</v>
      </c>
      <c r="AC111" s="84">
        <f t="shared" si="44"/>
        <v>67</v>
      </c>
      <c r="AD111" s="84">
        <f t="shared" si="45"/>
        <v>4000</v>
      </c>
      <c r="AE111" s="84">
        <f t="shared" si="46"/>
        <v>6814.0239222368018</v>
      </c>
      <c r="AF111" s="84">
        <f t="shared" si="47"/>
        <v>4523.8934211693013</v>
      </c>
      <c r="AG111" s="84">
        <f t="shared" si="48"/>
        <v>10116.466119690391</v>
      </c>
      <c r="AH111" s="84">
        <f t="shared" si="49"/>
        <v>5596.8437279252585</v>
      </c>
    </row>
    <row r="112" spans="1:34" ht="12.95" customHeight="1" x14ac:dyDescent="0.2">
      <c r="A112" s="84">
        <f t="shared" si="50"/>
        <v>-35</v>
      </c>
      <c r="B112" s="84">
        <f t="shared" si="51"/>
        <v>-36</v>
      </c>
      <c r="C112" s="84">
        <f t="shared" si="28"/>
        <v>1248.5945842427279</v>
      </c>
      <c r="D112" s="41" t="str">
        <f>INDEX('Data input'!D:D, MATCH(A112, 'Data input'!C:C, -1))</f>
        <v>SAND</v>
      </c>
      <c r="E112" s="84">
        <f>INDEX('Data input'!H:H, MATCH(A112, 'Data input'!C:C, -1))/gammagamma</f>
        <v>20</v>
      </c>
      <c r="F112" s="91">
        <f>INDEX('Data input'!G:G, MATCH(A112, 'Data input'!C:C, -1))/gammaPhi</f>
        <v>34</v>
      </c>
      <c r="G112" s="84">
        <f t="shared" si="29"/>
        <v>397.30500000000001</v>
      </c>
      <c r="H112" s="84">
        <f t="shared" si="30"/>
        <v>402.21000000000004</v>
      </c>
      <c r="I112" s="84">
        <f t="shared" si="31"/>
        <v>748.62</v>
      </c>
      <c r="J112" s="84">
        <f t="shared" si="32"/>
        <v>758.62</v>
      </c>
      <c r="K112" s="84">
        <f t="shared" si="52"/>
        <v>351.315</v>
      </c>
      <c r="L112" s="84">
        <f t="shared" si="53"/>
        <v>356.40999999999997</v>
      </c>
      <c r="M112" s="91">
        <f t="shared" si="25"/>
        <v>34</v>
      </c>
      <c r="N112" s="84">
        <f>IF(ISNUMBER(INDEX('Data input'!I:I, MATCH(A112, 'Data input'!C:C, -1))),INDEX('Data input'!I:I, MATCH(A112, 'Data input'!C:C, -1)),1-SIN(RADIANS(F112)))</f>
        <v>0.4408070965292531</v>
      </c>
      <c r="O112" s="84">
        <f t="shared" si="54"/>
        <v>0.29732814089356296</v>
      </c>
      <c r="P112" s="84" cm="1">
        <f t="array" ref="P112">(IFERROR(
    IF(
        OR(
            INDEX('Data input'!$D:$D, MATCH((A112+B112)/2, 'Data input'!$C$39:$C$117, -1)+36)&lt;&gt;"CLAY",
            INDEX('Data input'!$E:$E, MATCH((A112+B112)/2, 'Data input'!$C$39:$C$117, -1)+36)=0
        ),
        0,
        INDEX('Data input'!$E:$E, MATCH((A112+B112)/2, 'Data input'!$C$39:$C$117, -1)+36)
        +
        (
            (INDEX('Data input'!$F:$F, MATCH((A112+B112)/2, 'Data input'!$C$39:$C$117, -1)+36)
            -
            INDEX('Data input'!$E:$E, MATCH((A112+B112)/2, 'Data input'!$C$39:$C$117, -1)+36))
            /
            (INDEX('Data input'!$C:$C, MATCH((A112+B112)/2, 'Data input'!$C$39:$C$117, -1)+36)
            -
            IF(
                MATCH((A112+B112)/2, 'Data input'!$C$39:$C$117, -1)+36=41,
                -1000,
                INDEX('Data input'!$C:$C, MATCH((A112+B112)/2, 'Data input'!$C$39:$C$117, -1)+37)
            ))
        )
        *
        (INDEX('Data input'!$C:$C, MATCH((A112+B112)/2, 'Data input'!$C$39:$C$117, -1)+36) - (A112+B112)/2)
    ),
    ""
))/gammacu</f>
        <v>0</v>
      </c>
      <c r="Q112" s="84" cm="1">
        <f t="array" ref="Q112">(IFERROR(
    IF(
        OR(
            INDEX('Data input'!$D:$D, MATCH(B112+0.00001, 'Data input'!$C$39:$C$117, -1)+36)&lt;&gt;"CLAY",
            INDEX('Data input'!$E:$E, MATCH(B112+0.00001, 'Data input'!$C$39:$C$117, -1)+36)=0
        ),
        0,
        INDEX('Data input'!$E:$E, MATCH(B112+0.00001, 'Data input'!$C$39:$C$117, -1)+36)
        +
        (
            (INDEX('Data input'!$F:$F, MATCH(B112+0.00001, 'Data input'!$C$39:$C$117, -1)+36)
            -
            INDEX('Data input'!$E:$E, MATCH(B112+0.00001, 'Data input'!$C$39:$C$117, -1)+36))
            /
            (INDEX('Data input'!$C:$C, MATCH(B112+0.00001, 'Data input'!$C$39:$C$117, -1)+36)
            -
            IF(
                MATCH(B112+0.00001, 'Data input'!$C$39:$C$117, -1)+36=41,
                -1000,
                INDEX('Data input'!$C:$C, MATCH(B112+0.00001, 'Data input'!$C$39:$C$117, -1)+37)
            ))
        )
        *
        (INDEX('Data input'!$C:$C, MATCH(B112+0.00001, 'Data input'!$C$39:$C$117, -1)+36) - B112)
    ),
    ""
))/gammacu</f>
        <v>0</v>
      </c>
      <c r="R112" s="84" t="str">
        <f t="shared" si="33"/>
        <v>-</v>
      </c>
      <c r="S112" s="84" t="str">
        <f t="shared" si="34"/>
        <v>-</v>
      </c>
      <c r="T112" s="84">
        <f t="shared" si="35"/>
        <v>72.293101961327551</v>
      </c>
      <c r="U112" s="84">
        <f t="shared" si="36"/>
        <v>100</v>
      </c>
      <c r="V112" s="84">
        <f t="shared" si="37"/>
        <v>67</v>
      </c>
      <c r="W112" s="84">
        <f t="shared" si="38"/>
        <v>4000</v>
      </c>
      <c r="X112" s="84">
        <f t="shared" si="39"/>
        <v>5874.8501386389125</v>
      </c>
      <c r="Y112" s="84">
        <f t="shared" si="40"/>
        <v>4523.8934211693013</v>
      </c>
      <c r="Z112" s="84">
        <f t="shared" si="41"/>
        <v>9150.1489755654857</v>
      </c>
      <c r="AA112" s="84">
        <f t="shared" si="42"/>
        <v>4994.7406534416896</v>
      </c>
      <c r="AB112" s="84">
        <f t="shared" si="43"/>
        <v>100</v>
      </c>
      <c r="AC112" s="84">
        <f t="shared" si="44"/>
        <v>67</v>
      </c>
      <c r="AD112" s="84">
        <f t="shared" si="45"/>
        <v>4000</v>
      </c>
      <c r="AE112" s="84">
        <f t="shared" si="46"/>
        <v>7191.0150406675766</v>
      </c>
      <c r="AF112" s="84">
        <f t="shared" si="47"/>
        <v>4523.8934211693013</v>
      </c>
      <c r="AG112" s="84">
        <f t="shared" si="48"/>
        <v>10466.31387759415</v>
      </c>
      <c r="AH112" s="84">
        <f t="shared" si="49"/>
        <v>5876.5711378008937</v>
      </c>
    </row>
    <row r="113" spans="1:34" ht="12.95" customHeight="1" x14ac:dyDescent="0.2">
      <c r="A113" s="84">
        <f t="shared" si="50"/>
        <v>-36</v>
      </c>
      <c r="B113" s="84">
        <f t="shared" si="51"/>
        <v>-37</v>
      </c>
      <c r="C113" s="84">
        <f t="shared" si="28"/>
        <v>1275.7379447697438</v>
      </c>
      <c r="D113" s="41" t="str">
        <f>INDEX('Data input'!D:D, MATCH(A113, 'Data input'!C:C, -1))</f>
        <v>SAND</v>
      </c>
      <c r="E113" s="84">
        <f>INDEX('Data input'!H:H, MATCH(A113, 'Data input'!C:C, -1))/gammagamma</f>
        <v>20</v>
      </c>
      <c r="F113" s="91">
        <f>INDEX('Data input'!G:G, MATCH(A113, 'Data input'!C:C, -1))/gammaPhi</f>
        <v>34</v>
      </c>
      <c r="G113" s="84">
        <f t="shared" si="29"/>
        <v>407.11500000000001</v>
      </c>
      <c r="H113" s="84">
        <f t="shared" si="30"/>
        <v>412.02000000000004</v>
      </c>
      <c r="I113" s="84">
        <f t="shared" si="31"/>
        <v>768.62</v>
      </c>
      <c r="J113" s="84">
        <f t="shared" si="32"/>
        <v>778.62</v>
      </c>
      <c r="K113" s="84">
        <f t="shared" si="52"/>
        <v>361.505</v>
      </c>
      <c r="L113" s="84">
        <f t="shared" si="53"/>
        <v>366.59999999999997</v>
      </c>
      <c r="M113" s="91">
        <f t="shared" si="25"/>
        <v>34</v>
      </c>
      <c r="N113" s="84">
        <f>IF(ISNUMBER(INDEX('Data input'!I:I, MATCH(A113, 'Data input'!C:C, -1))),INDEX('Data input'!I:I, MATCH(A113, 'Data input'!C:C, -1)),1-SIN(RADIANS(F113)))</f>
        <v>0.4408070965292531</v>
      </c>
      <c r="O113" s="84">
        <f t="shared" si="54"/>
        <v>0.29732814089356296</v>
      </c>
      <c r="P113" s="84" cm="1">
        <f t="array" ref="P113">(IFERROR(
    IF(
        OR(
            INDEX('Data input'!$D:$D, MATCH((A113+B113)/2, 'Data input'!$C$39:$C$117, -1)+36)&lt;&gt;"CLAY",
            INDEX('Data input'!$E:$E, MATCH((A113+B113)/2, 'Data input'!$C$39:$C$117, -1)+36)=0
        ),
        0,
        INDEX('Data input'!$E:$E, MATCH((A113+B113)/2, 'Data input'!$C$39:$C$117, -1)+36)
        +
        (
            (INDEX('Data input'!$F:$F, MATCH((A113+B113)/2, 'Data input'!$C$39:$C$117, -1)+36)
            -
            INDEX('Data input'!$E:$E, MATCH((A113+B113)/2, 'Data input'!$C$39:$C$117, -1)+36))
            /
            (INDEX('Data input'!$C:$C, MATCH((A113+B113)/2, 'Data input'!$C$39:$C$117, -1)+36)
            -
            IF(
                MATCH((A113+B113)/2, 'Data input'!$C$39:$C$117, -1)+36=41,
                -1000,
                INDEX('Data input'!$C:$C, MATCH((A113+B113)/2, 'Data input'!$C$39:$C$117, -1)+37)
            ))
        )
        *
        (INDEX('Data input'!$C:$C, MATCH((A113+B113)/2, 'Data input'!$C$39:$C$117, -1)+36) - (A113+B113)/2)
    ),
    ""
))/gammacu</f>
        <v>0</v>
      </c>
      <c r="Q113" s="84" cm="1">
        <f t="array" ref="Q113">(IFERROR(
    IF(
        OR(
            INDEX('Data input'!$D:$D, MATCH(B113+0.00001, 'Data input'!$C$39:$C$117, -1)+36)&lt;&gt;"CLAY",
            INDEX('Data input'!$E:$E, MATCH(B113+0.00001, 'Data input'!$C$39:$C$117, -1)+36)=0
        ),
        0,
        INDEX('Data input'!$E:$E, MATCH(B113+0.00001, 'Data input'!$C$39:$C$117, -1)+36)
        +
        (
            (INDEX('Data input'!$F:$F, MATCH(B113+0.00001, 'Data input'!$C$39:$C$117, -1)+36)
            -
            INDEX('Data input'!$E:$E, MATCH(B113+0.00001, 'Data input'!$C$39:$C$117, -1)+36))
            /
            (INDEX('Data input'!$C:$C, MATCH(B113+0.00001, 'Data input'!$C$39:$C$117, -1)+36)
            -
            IF(
                MATCH(B113+0.00001, 'Data input'!$C$39:$C$117, -1)+36=41,
                -1000,
                INDEX('Data input'!$C:$C, MATCH(B113+0.00001, 'Data input'!$C$39:$C$117, -1)+37)
            ))
        )
        *
        (INDEX('Data input'!$C:$C, MATCH(B113+0.00001, 'Data input'!$C$39:$C$117, -1)+36) - B113)
    ),
    ""
))/gammacu</f>
        <v>0</v>
      </c>
      <c r="R113" s="84" t="str">
        <f t="shared" si="33"/>
        <v>-</v>
      </c>
      <c r="S113" s="84" t="str">
        <f t="shared" si="34"/>
        <v>-</v>
      </c>
      <c r="T113" s="84">
        <f t="shared" si="35"/>
        <v>72.293101961327551</v>
      </c>
      <c r="U113" s="84">
        <f t="shared" si="36"/>
        <v>100</v>
      </c>
      <c r="V113" s="84">
        <f t="shared" si="37"/>
        <v>67</v>
      </c>
      <c r="W113" s="84">
        <f t="shared" si="38"/>
        <v>4000</v>
      </c>
      <c r="X113" s="84">
        <f t="shared" si="39"/>
        <v>6251.8412570696873</v>
      </c>
      <c r="Y113" s="84">
        <f t="shared" si="40"/>
        <v>4523.8934211693013</v>
      </c>
      <c r="Z113" s="84">
        <f t="shared" si="41"/>
        <v>9499.9967334692446</v>
      </c>
      <c r="AA113" s="84">
        <f t="shared" si="42"/>
        <v>5274.4680633173248</v>
      </c>
      <c r="AB113" s="84">
        <f t="shared" si="43"/>
        <v>100</v>
      </c>
      <c r="AC113" s="84">
        <f t="shared" si="44"/>
        <v>67</v>
      </c>
      <c r="AD113" s="84">
        <f t="shared" si="45"/>
        <v>4000</v>
      </c>
      <c r="AE113" s="84">
        <f t="shared" si="46"/>
        <v>7568.0061590983514</v>
      </c>
      <c r="AF113" s="84">
        <f t="shared" si="47"/>
        <v>4523.8934211693013</v>
      </c>
      <c r="AG113" s="84">
        <f t="shared" si="48"/>
        <v>10816.161635497909</v>
      </c>
      <c r="AH113" s="84">
        <f t="shared" si="49"/>
        <v>6156.2985476765289</v>
      </c>
    </row>
    <row r="114" spans="1:34" ht="12.95" customHeight="1" x14ac:dyDescent="0.2">
      <c r="A114" s="84">
        <f t="shared" si="50"/>
        <v>-37</v>
      </c>
      <c r="B114" s="84">
        <f t="shared" si="51"/>
        <v>-38</v>
      </c>
      <c r="C114" s="84">
        <f t="shared" si="28"/>
        <v>1302.8813052967596</v>
      </c>
      <c r="D114" s="41" t="str">
        <f>INDEX('Data input'!D:D, MATCH(A114, 'Data input'!C:C, -1))</f>
        <v>SAND</v>
      </c>
      <c r="E114" s="84">
        <f>INDEX('Data input'!H:H, MATCH(A114, 'Data input'!C:C, -1))/gammagamma</f>
        <v>20</v>
      </c>
      <c r="F114" s="91">
        <f>INDEX('Data input'!G:G, MATCH(A114, 'Data input'!C:C, -1))/gammaPhi</f>
        <v>34</v>
      </c>
      <c r="G114" s="84">
        <f t="shared" si="29"/>
        <v>416.92500000000001</v>
      </c>
      <c r="H114" s="84">
        <f t="shared" si="30"/>
        <v>421.83000000000004</v>
      </c>
      <c r="I114" s="84">
        <f t="shared" si="31"/>
        <v>788.62</v>
      </c>
      <c r="J114" s="84">
        <f t="shared" si="32"/>
        <v>798.62</v>
      </c>
      <c r="K114" s="84">
        <f t="shared" si="52"/>
        <v>371.69499999999999</v>
      </c>
      <c r="L114" s="84">
        <f t="shared" si="53"/>
        <v>376.78999999999996</v>
      </c>
      <c r="M114" s="91">
        <f t="shared" si="25"/>
        <v>34</v>
      </c>
      <c r="N114" s="84">
        <f>IF(ISNUMBER(INDEX('Data input'!I:I, MATCH(A114, 'Data input'!C:C, -1))),INDEX('Data input'!I:I, MATCH(A114, 'Data input'!C:C, -1)),1-SIN(RADIANS(F114)))</f>
        <v>0.4408070965292531</v>
      </c>
      <c r="O114" s="84">
        <f t="shared" si="54"/>
        <v>0.29732814089356296</v>
      </c>
      <c r="P114" s="84" cm="1">
        <f t="array" ref="P114">(IFERROR(
    IF(
        OR(
            INDEX('Data input'!$D:$D, MATCH((A114+B114)/2, 'Data input'!$C$39:$C$117, -1)+36)&lt;&gt;"CLAY",
            INDEX('Data input'!$E:$E, MATCH((A114+B114)/2, 'Data input'!$C$39:$C$117, -1)+36)=0
        ),
        0,
        INDEX('Data input'!$E:$E, MATCH((A114+B114)/2, 'Data input'!$C$39:$C$117, -1)+36)
        +
        (
            (INDEX('Data input'!$F:$F, MATCH((A114+B114)/2, 'Data input'!$C$39:$C$117, -1)+36)
            -
            INDEX('Data input'!$E:$E, MATCH((A114+B114)/2, 'Data input'!$C$39:$C$117, -1)+36))
            /
            (INDEX('Data input'!$C:$C, MATCH((A114+B114)/2, 'Data input'!$C$39:$C$117, -1)+36)
            -
            IF(
                MATCH((A114+B114)/2, 'Data input'!$C$39:$C$117, -1)+36=41,
                -1000,
                INDEX('Data input'!$C:$C, MATCH((A114+B114)/2, 'Data input'!$C$39:$C$117, -1)+37)
            ))
        )
        *
        (INDEX('Data input'!$C:$C, MATCH((A114+B114)/2, 'Data input'!$C$39:$C$117, -1)+36) - (A114+B114)/2)
    ),
    ""
))/gammacu</f>
        <v>0</v>
      </c>
      <c r="Q114" s="84" cm="1">
        <f t="array" ref="Q114">(IFERROR(
    IF(
        OR(
            INDEX('Data input'!$D:$D, MATCH(B114+0.00001, 'Data input'!$C$39:$C$117, -1)+36)&lt;&gt;"CLAY",
            INDEX('Data input'!$E:$E, MATCH(B114+0.00001, 'Data input'!$C$39:$C$117, -1)+36)=0
        ),
        0,
        INDEX('Data input'!$E:$E, MATCH(B114+0.00001, 'Data input'!$C$39:$C$117, -1)+36)
        +
        (
            (INDEX('Data input'!$F:$F, MATCH(B114+0.00001, 'Data input'!$C$39:$C$117, -1)+36)
            -
            INDEX('Data input'!$E:$E, MATCH(B114+0.00001, 'Data input'!$C$39:$C$117, -1)+36))
            /
            (INDEX('Data input'!$C:$C, MATCH(B114+0.00001, 'Data input'!$C$39:$C$117, -1)+36)
            -
            IF(
                MATCH(B114+0.00001, 'Data input'!$C$39:$C$117, -1)+36=41,
                -1000,
                INDEX('Data input'!$C:$C, MATCH(B114+0.00001, 'Data input'!$C$39:$C$117, -1)+37)
            ))
        )
        *
        (INDEX('Data input'!$C:$C, MATCH(B114+0.00001, 'Data input'!$C$39:$C$117, -1)+36) - B114)
    ),
    ""
))/gammacu</f>
        <v>0</v>
      </c>
      <c r="R114" s="84" t="str">
        <f t="shared" si="33"/>
        <v>-</v>
      </c>
      <c r="S114" s="84" t="str">
        <f t="shared" si="34"/>
        <v>-</v>
      </c>
      <c r="T114" s="84">
        <f t="shared" si="35"/>
        <v>72.293101961327551</v>
      </c>
      <c r="U114" s="84">
        <f t="shared" si="36"/>
        <v>100</v>
      </c>
      <c r="V114" s="84">
        <f t="shared" si="37"/>
        <v>67</v>
      </c>
      <c r="W114" s="84">
        <f t="shared" si="38"/>
        <v>4000</v>
      </c>
      <c r="X114" s="84">
        <f t="shared" si="39"/>
        <v>6628.8323755004621</v>
      </c>
      <c r="Y114" s="84">
        <f t="shared" si="40"/>
        <v>4523.8934211693013</v>
      </c>
      <c r="Z114" s="84">
        <f t="shared" si="41"/>
        <v>9849.8444913730036</v>
      </c>
      <c r="AA114" s="84">
        <f t="shared" si="42"/>
        <v>5554.19547319296</v>
      </c>
      <c r="AB114" s="84">
        <f t="shared" si="43"/>
        <v>100</v>
      </c>
      <c r="AC114" s="84">
        <f t="shared" si="44"/>
        <v>67</v>
      </c>
      <c r="AD114" s="84">
        <f t="shared" si="45"/>
        <v>4000</v>
      </c>
      <c r="AE114" s="84">
        <f t="shared" si="46"/>
        <v>7944.9972775291262</v>
      </c>
      <c r="AF114" s="84">
        <f t="shared" si="47"/>
        <v>4523.8934211693013</v>
      </c>
      <c r="AG114" s="84">
        <f t="shared" si="48"/>
        <v>11166.009393401668</v>
      </c>
      <c r="AH114" s="84">
        <f t="shared" si="49"/>
        <v>6436.0259575521641</v>
      </c>
    </row>
    <row r="115" spans="1:34" ht="12.95" customHeight="1" x14ac:dyDescent="0.2">
      <c r="A115" s="84">
        <f t="shared" si="50"/>
        <v>-38</v>
      </c>
      <c r="B115" s="84">
        <f t="shared" si="51"/>
        <v>-39</v>
      </c>
      <c r="C115" s="84">
        <f t="shared" si="28"/>
        <v>1330.0246658237754</v>
      </c>
      <c r="D115" s="41" t="str">
        <f>INDEX('Data input'!D:D, MATCH(A115, 'Data input'!C:C, -1))</f>
        <v>SAND</v>
      </c>
      <c r="E115" s="84">
        <f>INDEX('Data input'!H:H, MATCH(A115, 'Data input'!C:C, -1))/gammagamma</f>
        <v>20</v>
      </c>
      <c r="F115" s="91">
        <f>INDEX('Data input'!G:G, MATCH(A115, 'Data input'!C:C, -1))/gammaPhi</f>
        <v>34</v>
      </c>
      <c r="G115" s="84">
        <f t="shared" si="29"/>
        <v>426.73500000000001</v>
      </c>
      <c r="H115" s="84">
        <f t="shared" si="30"/>
        <v>431.64000000000004</v>
      </c>
      <c r="I115" s="84">
        <f t="shared" si="31"/>
        <v>808.62</v>
      </c>
      <c r="J115" s="84">
        <f t="shared" si="32"/>
        <v>818.62</v>
      </c>
      <c r="K115" s="84">
        <f t="shared" si="52"/>
        <v>381.88499999999999</v>
      </c>
      <c r="L115" s="84">
        <f t="shared" si="53"/>
        <v>386.97999999999996</v>
      </c>
      <c r="M115" s="91">
        <f t="shared" si="25"/>
        <v>34</v>
      </c>
      <c r="N115" s="84">
        <f>IF(ISNUMBER(INDEX('Data input'!I:I, MATCH(A115, 'Data input'!C:C, -1))),INDEX('Data input'!I:I, MATCH(A115, 'Data input'!C:C, -1)),1-SIN(RADIANS(F115)))</f>
        <v>0.4408070965292531</v>
      </c>
      <c r="O115" s="84">
        <f t="shared" si="54"/>
        <v>0.29732814089356296</v>
      </c>
      <c r="P115" s="84" cm="1">
        <f t="array" ref="P115">(IFERROR(
    IF(
        OR(
            INDEX('Data input'!$D:$D, MATCH((A115+B115)/2, 'Data input'!$C$39:$C$117, -1)+36)&lt;&gt;"CLAY",
            INDEX('Data input'!$E:$E, MATCH((A115+B115)/2, 'Data input'!$C$39:$C$117, -1)+36)=0
        ),
        0,
        INDEX('Data input'!$E:$E, MATCH((A115+B115)/2, 'Data input'!$C$39:$C$117, -1)+36)
        +
        (
            (INDEX('Data input'!$F:$F, MATCH((A115+B115)/2, 'Data input'!$C$39:$C$117, -1)+36)
            -
            INDEX('Data input'!$E:$E, MATCH((A115+B115)/2, 'Data input'!$C$39:$C$117, -1)+36))
            /
            (INDEX('Data input'!$C:$C, MATCH((A115+B115)/2, 'Data input'!$C$39:$C$117, -1)+36)
            -
            IF(
                MATCH((A115+B115)/2, 'Data input'!$C$39:$C$117, -1)+36=41,
                -1000,
                INDEX('Data input'!$C:$C, MATCH((A115+B115)/2, 'Data input'!$C$39:$C$117, -1)+37)
            ))
        )
        *
        (INDEX('Data input'!$C:$C, MATCH((A115+B115)/2, 'Data input'!$C$39:$C$117, -1)+36) - (A115+B115)/2)
    ),
    ""
))/gammacu</f>
        <v>0</v>
      </c>
      <c r="Q115" s="84" cm="1">
        <f t="array" ref="Q115">(IFERROR(
    IF(
        OR(
            INDEX('Data input'!$D:$D, MATCH(B115+0.00001, 'Data input'!$C$39:$C$117, -1)+36)&lt;&gt;"CLAY",
            INDEX('Data input'!$E:$E, MATCH(B115+0.00001, 'Data input'!$C$39:$C$117, -1)+36)=0
        ),
        0,
        INDEX('Data input'!$E:$E, MATCH(B115+0.00001, 'Data input'!$C$39:$C$117, -1)+36)
        +
        (
            (INDEX('Data input'!$F:$F, MATCH(B115+0.00001, 'Data input'!$C$39:$C$117, -1)+36)
            -
            INDEX('Data input'!$E:$E, MATCH(B115+0.00001, 'Data input'!$C$39:$C$117, -1)+36))
            /
            (INDEX('Data input'!$C:$C, MATCH(B115+0.00001, 'Data input'!$C$39:$C$117, -1)+36)
            -
            IF(
                MATCH(B115+0.00001, 'Data input'!$C$39:$C$117, -1)+36=41,
                -1000,
                INDEX('Data input'!$C:$C, MATCH(B115+0.00001, 'Data input'!$C$39:$C$117, -1)+37)
            ))
        )
        *
        (INDEX('Data input'!$C:$C, MATCH(B115+0.00001, 'Data input'!$C$39:$C$117, -1)+36) - B115)
    ),
    ""
))/gammacu</f>
        <v>0</v>
      </c>
      <c r="R115" s="84" t="str">
        <f t="shared" si="33"/>
        <v>-</v>
      </c>
      <c r="S115" s="84" t="str">
        <f t="shared" si="34"/>
        <v>-</v>
      </c>
      <c r="T115" s="84">
        <f t="shared" si="35"/>
        <v>72.293101961327551</v>
      </c>
      <c r="U115" s="84">
        <f t="shared" si="36"/>
        <v>100</v>
      </c>
      <c r="V115" s="84">
        <f t="shared" si="37"/>
        <v>67</v>
      </c>
      <c r="W115" s="84">
        <f t="shared" si="38"/>
        <v>4000</v>
      </c>
      <c r="X115" s="84">
        <f t="shared" si="39"/>
        <v>7005.823493931237</v>
      </c>
      <c r="Y115" s="84">
        <f t="shared" si="40"/>
        <v>4523.8934211693013</v>
      </c>
      <c r="Z115" s="84">
        <f t="shared" si="41"/>
        <v>10199.692249276763</v>
      </c>
      <c r="AA115" s="84">
        <f t="shared" si="42"/>
        <v>5833.9228830685952</v>
      </c>
      <c r="AB115" s="84">
        <f t="shared" si="43"/>
        <v>100</v>
      </c>
      <c r="AC115" s="84">
        <f t="shared" si="44"/>
        <v>67</v>
      </c>
      <c r="AD115" s="84">
        <f t="shared" si="45"/>
        <v>4000</v>
      </c>
      <c r="AE115" s="84">
        <f t="shared" si="46"/>
        <v>8321.988395959901</v>
      </c>
      <c r="AF115" s="84">
        <f t="shared" si="47"/>
        <v>4523.8934211693013</v>
      </c>
      <c r="AG115" s="84">
        <f t="shared" si="48"/>
        <v>11515.857151305427</v>
      </c>
      <c r="AH115" s="84">
        <f t="shared" si="49"/>
        <v>6715.7533674277993</v>
      </c>
    </row>
    <row r="116" spans="1:34" ht="12.95" customHeight="1" x14ac:dyDescent="0.2">
      <c r="A116" s="84">
        <f t="shared" si="50"/>
        <v>-39</v>
      </c>
      <c r="B116" s="84">
        <f>MIN(A116-1,F37)</f>
        <v>-40</v>
      </c>
      <c r="C116" s="84">
        <f t="shared" si="28"/>
        <v>1357.1680263507913</v>
      </c>
      <c r="D116" s="41" t="str">
        <f>INDEX('Data input'!D:D, MATCH(A116, 'Data input'!C:C, -1))</f>
        <v>SAND</v>
      </c>
      <c r="E116" s="84">
        <f>INDEX('Data input'!H:H, MATCH(A116, 'Data input'!C:C, -1))/gammagamma</f>
        <v>20</v>
      </c>
      <c r="F116" s="91">
        <f>INDEX('Data input'!G:G, MATCH(A116, 'Data input'!C:C, -1))/gammaPhi</f>
        <v>34</v>
      </c>
      <c r="G116" s="84">
        <f t="shared" si="29"/>
        <v>436.54500000000002</v>
      </c>
      <c r="H116" s="84">
        <f t="shared" si="30"/>
        <v>441.45000000000005</v>
      </c>
      <c r="I116" s="84">
        <f t="shared" si="31"/>
        <v>828.62</v>
      </c>
      <c r="J116" s="84">
        <f t="shared" si="32"/>
        <v>838.62</v>
      </c>
      <c r="K116" s="84">
        <f t="shared" si="52"/>
        <v>392.07499999999999</v>
      </c>
      <c r="L116" s="84">
        <f t="shared" si="53"/>
        <v>397.16999999999996</v>
      </c>
      <c r="M116" s="91">
        <f t="shared" si="25"/>
        <v>34</v>
      </c>
      <c r="N116" s="84">
        <f>IF(ISNUMBER(INDEX('Data input'!I:I, MATCH(A116, 'Data input'!C:C, -1))),INDEX('Data input'!I:I, MATCH(A116, 'Data input'!C:C, -1)),1-SIN(RADIANS(F116)))</f>
        <v>0.4408070965292531</v>
      </c>
      <c r="O116" s="84">
        <f t="shared" si="54"/>
        <v>0.29732814089356296</v>
      </c>
      <c r="P116" s="84" cm="1">
        <f t="array" ref="P116">(IFERROR(
    IF(
        OR(
            INDEX('Data input'!$D:$D, MATCH((A116+B116)/2, 'Data input'!$C$39:$C$117, -1)+36)&lt;&gt;"CLAY",
            INDEX('Data input'!$E:$E, MATCH((A116+B116)/2, 'Data input'!$C$39:$C$117, -1)+36)=0
        ),
        0,
        INDEX('Data input'!$E:$E, MATCH((A116+B116)/2, 'Data input'!$C$39:$C$117, -1)+36)
        +
        (
            (INDEX('Data input'!$F:$F, MATCH((A116+B116)/2, 'Data input'!$C$39:$C$117, -1)+36)
            -
            INDEX('Data input'!$E:$E, MATCH((A116+B116)/2, 'Data input'!$C$39:$C$117, -1)+36))
            /
            (INDEX('Data input'!$C:$C, MATCH((A116+B116)/2, 'Data input'!$C$39:$C$117, -1)+36)
            -
            IF(
                MATCH((A116+B116)/2, 'Data input'!$C$39:$C$117, -1)+36=41,
                -1000,
                INDEX('Data input'!$C:$C, MATCH((A116+B116)/2, 'Data input'!$C$39:$C$117, -1)+37)
            ))
        )
        *
        (INDEX('Data input'!$C:$C, MATCH((A116+B116)/2, 'Data input'!$C$39:$C$117, -1)+36) - (A116+B116)/2)
    ),
    ""
))/gammacu</f>
        <v>0</v>
      </c>
      <c r="Q116" s="84" cm="1">
        <f t="array" ref="Q116">(IFERROR(
    IF(
        OR(
            INDEX('Data input'!$D:$D, MATCH(B116+0.00001, 'Data input'!$C$39:$C$117, -1)+36)&lt;&gt;"CLAY",
            INDEX('Data input'!$E:$E, MATCH(B116+0.00001, 'Data input'!$C$39:$C$117, -1)+36)=0
        ),
        0,
        INDEX('Data input'!$E:$E, MATCH(B116+0.00001, 'Data input'!$C$39:$C$117, -1)+36)
        +
        (
            (INDEX('Data input'!$F:$F, MATCH(B116+0.00001, 'Data input'!$C$39:$C$117, -1)+36)
            -
            INDEX('Data input'!$E:$E, MATCH(B116+0.00001, 'Data input'!$C$39:$C$117, -1)+36))
            /
            (INDEX('Data input'!$C:$C, MATCH(B116+0.00001, 'Data input'!$C$39:$C$117, -1)+36)
            -
            IF(
                MATCH(B116+0.00001, 'Data input'!$C$39:$C$117, -1)+36=41,
                -1000,
                INDEX('Data input'!$C:$C, MATCH(B116+0.00001, 'Data input'!$C$39:$C$117, -1)+37)
            ))
        )
        *
        (INDEX('Data input'!$C:$C, MATCH(B116+0.00001, 'Data input'!$C$39:$C$117, -1)+36) - B116)
    ),
    ""
))/gammacu</f>
        <v>0</v>
      </c>
      <c r="R116" s="84" t="str">
        <f t="shared" si="33"/>
        <v>-</v>
      </c>
      <c r="S116" s="84" t="str">
        <f t="shared" si="34"/>
        <v>-</v>
      </c>
      <c r="T116" s="84">
        <f t="shared" si="35"/>
        <v>72.293101961327551</v>
      </c>
      <c r="U116" s="84">
        <f t="shared" si="36"/>
        <v>100</v>
      </c>
      <c r="V116" s="84">
        <f t="shared" si="37"/>
        <v>67</v>
      </c>
      <c r="W116" s="84">
        <f t="shared" si="38"/>
        <v>4000</v>
      </c>
      <c r="X116" s="84">
        <f t="shared" si="39"/>
        <v>7382.8146123620118</v>
      </c>
      <c r="Y116" s="84">
        <f t="shared" si="40"/>
        <v>4523.8934211693013</v>
      </c>
      <c r="Z116" s="84">
        <f t="shared" si="41"/>
        <v>10549.540007180522</v>
      </c>
      <c r="AA116" s="84">
        <f t="shared" si="42"/>
        <v>6113.6502929442304</v>
      </c>
      <c r="AB116" s="84">
        <f t="shared" si="43"/>
        <v>100</v>
      </c>
      <c r="AC116" s="84">
        <f t="shared" si="44"/>
        <v>67</v>
      </c>
      <c r="AD116" s="84">
        <f t="shared" si="45"/>
        <v>4000</v>
      </c>
      <c r="AE116" s="84">
        <f t="shared" si="46"/>
        <v>8698.9795143906758</v>
      </c>
      <c r="AF116" s="84">
        <f t="shared" si="47"/>
        <v>4523.8934211693013</v>
      </c>
      <c r="AG116" s="84">
        <f t="shared" si="48"/>
        <v>11865.704909209186</v>
      </c>
      <c r="AH116" s="84">
        <f t="shared" si="49"/>
        <v>6995.4807773034345</v>
      </c>
    </row>
    <row r="117" spans="1:34" ht="12.95" customHeight="1" x14ac:dyDescent="0.2">
      <c r="A117" s="63"/>
      <c r="B117" s="63"/>
      <c r="C117" s="63"/>
      <c r="D117" s="6"/>
      <c r="E117" s="63"/>
      <c r="F117" s="63"/>
      <c r="G117" s="63"/>
      <c r="H117" s="63"/>
      <c r="I117" s="63"/>
      <c r="J117" s="63"/>
      <c r="K117" s="63"/>
      <c r="L117" s="63"/>
      <c r="M117" s="63"/>
      <c r="N117" s="63"/>
      <c r="O117" s="63"/>
      <c r="P117" s="63"/>
      <c r="Q117" s="63"/>
      <c r="R117" s="63"/>
      <c r="S117" s="63"/>
      <c r="T117" s="63"/>
      <c r="U117" s="63"/>
      <c r="V117" s="63"/>
      <c r="W117" s="63"/>
      <c r="X117" s="63"/>
      <c r="Y117" s="63"/>
      <c r="Z117" s="63"/>
      <c r="AA117" s="63"/>
      <c r="AB117" s="63"/>
      <c r="AC117" s="63"/>
      <c r="AD117" s="63"/>
      <c r="AE117" s="63"/>
      <c r="AF117" s="63"/>
      <c r="AG117" s="63"/>
      <c r="AH117" s="63"/>
    </row>
    <row r="118" spans="1:34" ht="12.95" customHeight="1" x14ac:dyDescent="0.2">
      <c r="A118" s="63"/>
      <c r="B118" s="63"/>
      <c r="C118" s="63"/>
      <c r="D118" s="6"/>
      <c r="E118" s="63"/>
      <c r="F118" s="63"/>
      <c r="G118" s="63"/>
      <c r="H118" s="63"/>
      <c r="I118" s="63"/>
      <c r="J118" s="63"/>
      <c r="K118" s="63"/>
      <c r="L118" s="63"/>
      <c r="M118" s="63"/>
      <c r="N118" s="63"/>
      <c r="O118" s="63"/>
      <c r="P118" s="63"/>
      <c r="Q118" s="63"/>
      <c r="R118" s="63"/>
      <c r="S118" s="63"/>
      <c r="T118" s="63"/>
      <c r="U118" s="63"/>
      <c r="V118" s="63"/>
      <c r="W118" s="63"/>
      <c r="X118" s="63"/>
      <c r="Y118" s="63"/>
      <c r="Z118" s="63"/>
      <c r="AA118" s="63"/>
      <c r="AB118" s="63"/>
      <c r="AC118" s="63"/>
      <c r="AD118" s="63"/>
      <c r="AE118" s="63"/>
      <c r="AF118" s="63"/>
      <c r="AG118" s="63"/>
      <c r="AH118" s="63"/>
    </row>
    <row r="119" spans="1:34" ht="12.95" customHeight="1" x14ac:dyDescent="0.2">
      <c r="A119" s="63"/>
      <c r="B119" s="63"/>
      <c r="C119" s="63"/>
      <c r="D119" s="6"/>
      <c r="E119" s="63"/>
      <c r="F119" s="63"/>
      <c r="G119" s="63"/>
      <c r="H119" s="63"/>
      <c r="I119" s="63"/>
      <c r="J119" s="63"/>
      <c r="K119" s="63"/>
      <c r="L119" s="63"/>
      <c r="M119" s="63"/>
      <c r="N119" s="63"/>
      <c r="O119" s="63"/>
      <c r="P119" s="63"/>
      <c r="Q119" s="63"/>
      <c r="R119" s="63"/>
      <c r="S119" s="63"/>
      <c r="T119" s="63"/>
      <c r="U119" s="63"/>
      <c r="V119" s="63"/>
      <c r="W119" s="63"/>
      <c r="X119" s="63"/>
      <c r="Y119" s="63"/>
      <c r="Z119" s="63"/>
      <c r="AA119" s="63"/>
      <c r="AB119" s="63"/>
      <c r="AC119" s="63"/>
      <c r="AD119" s="63"/>
      <c r="AE119" s="63"/>
      <c r="AF119" s="63"/>
      <c r="AG119" s="63"/>
      <c r="AH119" s="63"/>
    </row>
    <row r="120" spans="1:34" ht="12.95" customHeight="1" x14ac:dyDescent="0.2">
      <c r="A120" s="63"/>
      <c r="B120" s="63"/>
      <c r="C120" s="63"/>
      <c r="D120" s="6"/>
      <c r="E120" s="63"/>
      <c r="F120" s="63"/>
      <c r="G120" s="63"/>
      <c r="H120" s="63"/>
      <c r="I120" s="63"/>
      <c r="J120" s="63"/>
      <c r="K120" s="63"/>
      <c r="L120" s="63"/>
      <c r="M120" s="63"/>
      <c r="N120" s="63"/>
      <c r="O120" s="63"/>
      <c r="P120" s="63"/>
      <c r="Q120" s="63"/>
      <c r="R120" s="63"/>
      <c r="S120" s="63"/>
      <c r="T120" s="63"/>
      <c r="U120" s="63"/>
      <c r="V120" s="63"/>
      <c r="W120" s="63"/>
      <c r="X120" s="63"/>
      <c r="Y120" s="63"/>
      <c r="Z120" s="63"/>
      <c r="AA120" s="63"/>
      <c r="AB120" s="63"/>
      <c r="AC120" s="63"/>
      <c r="AD120" s="63"/>
      <c r="AE120" s="63"/>
      <c r="AF120" s="63"/>
      <c r="AG120" s="63"/>
      <c r="AH120" s="63"/>
    </row>
    <row r="121" spans="1:34" ht="12.95" customHeight="1" x14ac:dyDescent="0.2"/>
    <row r="122" spans="1:34" ht="12.95" customHeight="1" x14ac:dyDescent="0.2"/>
  </sheetData>
  <sortState xmlns:xlrd2="http://schemas.microsoft.com/office/spreadsheetml/2017/richdata2" ref="Y1:Z113">
    <sortCondition ref="Z1:Z113"/>
  </sortState>
  <mergeCells count="41">
    <mergeCell ref="Z64:Z65"/>
    <mergeCell ref="V64:V65"/>
    <mergeCell ref="X64:X65"/>
    <mergeCell ref="A4:C6"/>
    <mergeCell ref="A1:C3"/>
    <mergeCell ref="D1:I1"/>
    <mergeCell ref="J1:K1"/>
    <mergeCell ref="D3:I3"/>
    <mergeCell ref="J3:K3"/>
    <mergeCell ref="D5:E5"/>
    <mergeCell ref="F5:G5"/>
    <mergeCell ref="I5:J5"/>
    <mergeCell ref="Y64:Y65"/>
    <mergeCell ref="AH64:AH65"/>
    <mergeCell ref="AB63:AH63"/>
    <mergeCell ref="U63:AA63"/>
    <mergeCell ref="M63:M65"/>
    <mergeCell ref="N63:N65"/>
    <mergeCell ref="O63:O65"/>
    <mergeCell ref="AE64:AE65"/>
    <mergeCell ref="AF64:AF65"/>
    <mergeCell ref="AG64:AG65"/>
    <mergeCell ref="AA64:AA65"/>
    <mergeCell ref="AB64:AB65"/>
    <mergeCell ref="AC64:AC65"/>
    <mergeCell ref="AD64:AD65"/>
    <mergeCell ref="U64:U65"/>
    <mergeCell ref="W64:W65"/>
    <mergeCell ref="B7:J7"/>
    <mergeCell ref="R63:R65"/>
    <mergeCell ref="S63:S65"/>
    <mergeCell ref="P63:Q64"/>
    <mergeCell ref="T63:T65"/>
    <mergeCell ref="C63:C65"/>
    <mergeCell ref="A63:B64"/>
    <mergeCell ref="D63:D65"/>
    <mergeCell ref="I63:J64"/>
    <mergeCell ref="K63:L64"/>
    <mergeCell ref="E63:E65"/>
    <mergeCell ref="F63:F65"/>
    <mergeCell ref="G63:H64"/>
  </mergeCells>
  <phoneticPr fontId="32" type="noConversion"/>
  <conditionalFormatting sqref="D44">
    <cfRule type="containsText" dxfId="7" priority="5" operator="containsText" text="fails">
      <formula>NOT(ISERROR(SEARCH("fails",D44)))</formula>
    </cfRule>
  </conditionalFormatting>
  <conditionalFormatting sqref="D48">
    <cfRule type="containsText" dxfId="6" priority="3" operator="containsText" text="fails">
      <formula>NOT(ISERROR(SEARCH("fails",D48)))</formula>
    </cfRule>
  </conditionalFormatting>
  <conditionalFormatting sqref="D55">
    <cfRule type="containsText" dxfId="5" priority="2" operator="containsText" text="fails">
      <formula>NOT(ISERROR(SEARCH("fails",D55)))</formula>
    </cfRule>
  </conditionalFormatting>
  <conditionalFormatting sqref="D59">
    <cfRule type="containsText" dxfId="4" priority="1" operator="containsText" text="fails">
      <formula>NOT(ISERROR(SEARCH("fails",D59)))</formula>
    </cfRule>
  </conditionalFormatting>
  <pageMargins left="0.35" right="0.25" top="0.75" bottom="0.75" header="0.3" footer="0.3"/>
  <pageSetup paperSize="9" orientation="portrait" horizontalDpi="300" verticalDpi="30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E1D41-3C54-4A41-ABFF-922748415EBB}">
  <dimension ref="A1:AH122"/>
  <sheetViews>
    <sheetView zoomScale="130" zoomScaleNormal="130" zoomScaleSheetLayoutView="100" workbookViewId="0">
      <selection activeCell="M61" sqref="M61"/>
    </sheetView>
  </sheetViews>
  <sheetFormatPr defaultColWidth="8.85546875" defaultRowHeight="12.75" x14ac:dyDescent="0.2"/>
  <cols>
    <col min="1" max="12" width="9" style="8" customWidth="1"/>
    <col min="13" max="15" width="10.7109375" style="8" customWidth="1"/>
    <col min="16" max="20" width="9" style="8" customWidth="1"/>
    <col min="21" max="21" width="11.7109375" style="8" customWidth="1"/>
    <col min="22" max="24" width="9" style="8" customWidth="1"/>
    <col min="25" max="25" width="9" style="64" customWidth="1"/>
    <col min="26" max="26" width="11.7109375" style="8" customWidth="1"/>
    <col min="27" max="27" width="9" style="8" customWidth="1"/>
    <col min="28" max="28" width="11.7109375" style="8" customWidth="1"/>
    <col min="29" max="32" width="9" style="8" customWidth="1"/>
    <col min="33" max="33" width="11.7109375" style="8" customWidth="1"/>
    <col min="34" max="34" width="9" style="8" customWidth="1"/>
    <col min="35" max="62" width="8.7109375" style="8" customWidth="1"/>
    <col min="63" max="16384" width="8.85546875" style="8"/>
  </cols>
  <sheetData>
    <row r="1" spans="1:25" ht="15" customHeight="1" x14ac:dyDescent="0.2">
      <c r="A1" s="116"/>
      <c r="B1" s="116"/>
      <c r="C1" s="95"/>
      <c r="D1" s="103" t="s">
        <v>2</v>
      </c>
      <c r="E1" s="104"/>
      <c r="F1" s="104"/>
      <c r="G1" s="104"/>
      <c r="H1" s="104"/>
      <c r="I1" s="105"/>
      <c r="J1" s="103" t="s">
        <v>3</v>
      </c>
      <c r="K1" s="105"/>
      <c r="L1" s="78"/>
      <c r="M1" s="78"/>
      <c r="N1" s="78"/>
      <c r="O1" s="78"/>
      <c r="P1" s="78"/>
      <c r="S1" s="79"/>
      <c r="T1" s="78"/>
      <c r="Y1" s="66"/>
    </row>
    <row r="2" spans="1:25" ht="15" customHeight="1" x14ac:dyDescent="0.2">
      <c r="A2" s="116"/>
      <c r="B2" s="116"/>
      <c r="C2" s="95"/>
      <c r="D2" s="15" t="str">
        <f>'Data input'!$D$2</f>
        <v>Example Project</v>
      </c>
      <c r="E2" s="16"/>
      <c r="F2" s="16"/>
      <c r="G2" s="16"/>
      <c r="H2" s="16"/>
      <c r="I2" s="17"/>
      <c r="J2" s="15" t="str">
        <f>'Data input'!$J$2</f>
        <v>Eample Job No.</v>
      </c>
      <c r="K2" s="17"/>
      <c r="L2" s="43"/>
      <c r="M2" s="43"/>
      <c r="N2" s="43"/>
      <c r="O2" s="43"/>
      <c r="P2" s="43"/>
      <c r="S2" s="79"/>
      <c r="T2" s="43"/>
    </row>
    <row r="3" spans="1:25" ht="15" customHeight="1" x14ac:dyDescent="0.2">
      <c r="A3" s="116"/>
      <c r="B3" s="116"/>
      <c r="C3" s="95"/>
      <c r="D3" s="103" t="s">
        <v>6</v>
      </c>
      <c r="E3" s="104"/>
      <c r="F3" s="104"/>
      <c r="G3" s="104"/>
      <c r="H3" s="104"/>
      <c r="I3" s="105"/>
      <c r="J3" s="106" t="s">
        <v>7</v>
      </c>
      <c r="K3" s="107"/>
      <c r="L3" s="78"/>
      <c r="M3" s="78"/>
      <c r="N3" s="80"/>
      <c r="O3" s="80"/>
      <c r="P3" s="80"/>
      <c r="T3" s="80"/>
    </row>
    <row r="4" spans="1:25" ht="15" customHeight="1" x14ac:dyDescent="0.2">
      <c r="A4" s="113" t="s">
        <v>8</v>
      </c>
      <c r="B4" s="114"/>
      <c r="C4" s="115"/>
      <c r="D4" s="15" t="str">
        <f>'Data input'!$D$4</f>
        <v>Example Structure</v>
      </c>
      <c r="E4" s="16"/>
      <c r="F4" s="16"/>
      <c r="G4" s="16"/>
      <c r="H4" s="16"/>
      <c r="I4" s="17"/>
      <c r="J4" s="15"/>
      <c r="K4" s="17"/>
      <c r="L4" s="43"/>
      <c r="M4" s="43"/>
      <c r="N4" s="43"/>
      <c r="O4" s="43"/>
      <c r="P4" s="43"/>
      <c r="T4" s="43"/>
    </row>
    <row r="5" spans="1:25" ht="15" customHeight="1" x14ac:dyDescent="0.2">
      <c r="A5" s="114"/>
      <c r="B5" s="114"/>
      <c r="C5" s="115"/>
      <c r="D5" s="103" t="s">
        <v>10</v>
      </c>
      <c r="E5" s="105"/>
      <c r="F5" s="103" t="s">
        <v>11</v>
      </c>
      <c r="G5" s="105"/>
      <c r="H5" s="1" t="s">
        <v>12</v>
      </c>
      <c r="I5" s="106" t="s">
        <v>13</v>
      </c>
      <c r="J5" s="107"/>
      <c r="K5" s="2" t="s">
        <v>12</v>
      </c>
      <c r="L5" s="80"/>
      <c r="M5" s="80"/>
      <c r="N5" s="80"/>
      <c r="O5" s="44"/>
      <c r="P5" s="45"/>
      <c r="T5" s="44"/>
    </row>
    <row r="6" spans="1:25" ht="15" customHeight="1" x14ac:dyDescent="0.2">
      <c r="A6" s="114"/>
      <c r="B6" s="114"/>
      <c r="C6" s="115"/>
      <c r="D6" s="18" t="str">
        <f>'Data input'!$D$6</f>
        <v>Example Client</v>
      </c>
      <c r="E6" s="17"/>
      <c r="F6" s="18" t="str">
        <f>'Data input'!$F$6</f>
        <v>Example Engineer</v>
      </c>
      <c r="G6" s="17"/>
      <c r="H6" s="19">
        <f ca="1">TODAY()</f>
        <v>45988</v>
      </c>
      <c r="I6" s="18" t="str">
        <f>'Data input'!$I$6</f>
        <v>Example Checker</v>
      </c>
      <c r="J6" s="17"/>
      <c r="K6" s="19">
        <f ca="1">TODAY()</f>
        <v>45988</v>
      </c>
      <c r="L6" s="46"/>
      <c r="M6" s="81"/>
      <c r="N6" s="43"/>
      <c r="O6" s="43"/>
      <c r="P6" s="46"/>
      <c r="T6" s="43"/>
    </row>
    <row r="7" spans="1:25" ht="12.75" customHeight="1" x14ac:dyDescent="0.2">
      <c r="A7" s="20" t="s">
        <v>17</v>
      </c>
      <c r="B7" s="99" t="s">
        <v>18</v>
      </c>
      <c r="C7" s="99"/>
      <c r="D7" s="100"/>
      <c r="E7" s="100"/>
      <c r="F7" s="100"/>
      <c r="G7" s="100"/>
      <c r="H7" s="100"/>
      <c r="I7" s="100"/>
      <c r="J7" s="100"/>
      <c r="K7" s="21" t="s">
        <v>19</v>
      </c>
      <c r="L7" s="43"/>
      <c r="M7" s="43"/>
      <c r="N7" s="43"/>
      <c r="O7" s="47"/>
      <c r="P7" s="47"/>
      <c r="T7" s="47"/>
    </row>
    <row r="8" spans="1:25" ht="12.6" customHeight="1" x14ac:dyDescent="0.2">
      <c r="E8" s="82" t="s">
        <v>149</v>
      </c>
      <c r="G8" s="38"/>
      <c r="H8" s="38"/>
      <c r="T8" s="6"/>
      <c r="U8" s="6"/>
      <c r="V8" s="6"/>
      <c r="W8" s="6"/>
      <c r="X8" s="64"/>
      <c r="Y8" s="8"/>
    </row>
    <row r="9" spans="1:25" ht="12.6" customHeight="1" x14ac:dyDescent="0.2">
      <c r="G9" s="38"/>
      <c r="H9" s="38"/>
      <c r="T9" s="6"/>
      <c r="U9" s="6"/>
      <c r="V9" s="6"/>
      <c r="W9" s="6"/>
      <c r="X9" s="64"/>
      <c r="Y9" s="8"/>
    </row>
    <row r="10" spans="1:25" ht="12.6" customHeight="1" x14ac:dyDescent="0.2">
      <c r="A10" s="7" t="s">
        <v>26</v>
      </c>
      <c r="G10" s="38"/>
      <c r="H10" s="38"/>
      <c r="T10" s="6"/>
      <c r="U10" s="6"/>
      <c r="V10" s="6"/>
      <c r="W10" s="6"/>
      <c r="X10" s="64"/>
      <c r="Y10" s="8"/>
    </row>
    <row r="11" spans="1:25" ht="12.6" customHeight="1" x14ac:dyDescent="0.2">
      <c r="A11" s="7" t="s">
        <v>42</v>
      </c>
      <c r="T11" s="6"/>
      <c r="U11" s="6"/>
      <c r="V11" s="6"/>
      <c r="W11" s="6"/>
      <c r="X11" s="64"/>
      <c r="Y11" s="8"/>
    </row>
    <row r="12" spans="1:25" ht="12.6" customHeight="1" x14ac:dyDescent="0.2">
      <c r="A12" s="7"/>
      <c r="T12" s="6"/>
      <c r="U12" s="6"/>
      <c r="V12" s="6"/>
      <c r="W12" s="6"/>
      <c r="X12" s="64"/>
      <c r="Y12" s="8"/>
    </row>
    <row r="13" spans="1:25" ht="12.6" customHeight="1" x14ac:dyDescent="0.2">
      <c r="A13" s="7"/>
      <c r="B13" s="9" t="s">
        <v>20</v>
      </c>
      <c r="T13" s="6"/>
      <c r="U13" s="6"/>
      <c r="V13" s="6"/>
      <c r="W13" s="6"/>
      <c r="X13" s="64"/>
      <c r="Y13" s="8"/>
    </row>
    <row r="14" spans="1:25" ht="12.6" customHeight="1" x14ac:dyDescent="0.2">
      <c r="A14" s="7"/>
      <c r="B14" s="29"/>
      <c r="C14" s="70" t="s">
        <v>40</v>
      </c>
      <c r="D14" s="39"/>
      <c r="T14" s="6"/>
      <c r="U14" s="6"/>
      <c r="V14" s="6"/>
      <c r="W14" s="6"/>
      <c r="X14" s="64"/>
      <c r="Y14" s="8"/>
    </row>
    <row r="15" spans="1:25" ht="12.6" customHeight="1" x14ac:dyDescent="0.2">
      <c r="A15" s="7"/>
      <c r="B15" s="12"/>
      <c r="D15" s="13" t="s">
        <v>21</v>
      </c>
      <c r="E15" s="33" t="s">
        <v>22</v>
      </c>
      <c r="F15" s="30">
        <v>1</v>
      </c>
      <c r="H15"/>
      <c r="T15" s="6"/>
      <c r="U15" s="6"/>
      <c r="V15" s="6"/>
      <c r="W15" s="6"/>
      <c r="X15" s="64"/>
      <c r="Y15" s="8"/>
    </row>
    <row r="16" spans="1:25" ht="12.6" customHeight="1" x14ac:dyDescent="0.2">
      <c r="A16" s="7"/>
      <c r="B16" s="12"/>
      <c r="D16" s="13" t="s">
        <v>23</v>
      </c>
      <c r="E16" s="13" t="s">
        <v>24</v>
      </c>
      <c r="F16" s="30">
        <v>1.3</v>
      </c>
      <c r="H16"/>
      <c r="T16" s="6"/>
      <c r="U16" s="6"/>
      <c r="V16" s="6"/>
      <c r="W16" s="6"/>
      <c r="X16" s="64"/>
      <c r="Y16" s="8"/>
    </row>
    <row r="17" spans="1:25" ht="12.6" customHeight="1" x14ac:dyDescent="0.2">
      <c r="A17" s="7"/>
      <c r="B17" s="12"/>
      <c r="C17" s="13"/>
      <c r="D17" s="13"/>
      <c r="E17" s="13"/>
      <c r="F17" s="13"/>
      <c r="G17"/>
      <c r="H17"/>
      <c r="T17" s="6"/>
      <c r="U17" s="6"/>
      <c r="V17" s="6"/>
      <c r="W17" s="6"/>
      <c r="X17" s="64"/>
      <c r="Y17" s="8"/>
    </row>
    <row r="18" spans="1:25" ht="12.6" customHeight="1" x14ac:dyDescent="0.2">
      <c r="A18" s="7"/>
      <c r="B18" s="12"/>
      <c r="C18" s="70" t="s">
        <v>102</v>
      </c>
      <c r="D18" s="13"/>
      <c r="E18" s="13"/>
      <c r="F18" s="13"/>
      <c r="G18"/>
      <c r="H18"/>
      <c r="T18" s="6"/>
      <c r="U18" s="6"/>
      <c r="V18" s="6"/>
      <c r="W18" s="6"/>
      <c r="X18" s="64"/>
      <c r="Y18" s="8"/>
    </row>
    <row r="19" spans="1:25" ht="12.6" customHeight="1" x14ac:dyDescent="0.25">
      <c r="A19" s="7"/>
      <c r="B19" s="12"/>
      <c r="C19" s="13"/>
      <c r="D19" s="68" t="s">
        <v>96</v>
      </c>
      <c r="E19" s="68" t="s">
        <v>97</v>
      </c>
      <c r="F19" s="69">
        <v>1.25</v>
      </c>
      <c r="G19"/>
      <c r="H19"/>
      <c r="T19" s="6"/>
      <c r="U19" s="6"/>
      <c r="V19" s="6"/>
      <c r="W19" s="6"/>
      <c r="X19" s="64"/>
      <c r="Y19" s="8"/>
    </row>
    <row r="20" spans="1:25" ht="12.6" customHeight="1" x14ac:dyDescent="0.25">
      <c r="A20" s="7"/>
      <c r="B20" s="12"/>
      <c r="C20" s="13"/>
      <c r="D20" s="68" t="s">
        <v>98</v>
      </c>
      <c r="E20" s="68" t="s">
        <v>99</v>
      </c>
      <c r="F20" s="69">
        <v>1.25</v>
      </c>
      <c r="G20"/>
      <c r="H20"/>
      <c r="T20" s="6"/>
      <c r="U20" s="6"/>
      <c r="V20" s="6"/>
      <c r="W20" s="6"/>
      <c r="X20" s="64"/>
      <c r="Y20" s="8"/>
    </row>
    <row r="21" spans="1:25" ht="12.6" customHeight="1" x14ac:dyDescent="0.25">
      <c r="A21" s="7"/>
      <c r="B21" s="12"/>
      <c r="C21" s="13"/>
      <c r="D21" s="32" t="s">
        <v>125</v>
      </c>
      <c r="E21" s="75" t="s">
        <v>124</v>
      </c>
      <c r="F21" s="69">
        <v>1.4</v>
      </c>
      <c r="G21"/>
      <c r="H21"/>
      <c r="T21" s="6"/>
      <c r="U21" s="6"/>
      <c r="V21" s="6"/>
      <c r="W21" s="6"/>
      <c r="X21" s="64"/>
      <c r="Y21" s="8"/>
    </row>
    <row r="22" spans="1:25" ht="12.6" customHeight="1" x14ac:dyDescent="0.25">
      <c r="A22" s="7"/>
      <c r="B22" s="12"/>
      <c r="C22" s="13"/>
      <c r="D22" s="68" t="s">
        <v>100</v>
      </c>
      <c r="E22" s="68" t="s">
        <v>101</v>
      </c>
      <c r="F22" s="69">
        <v>1</v>
      </c>
      <c r="G22"/>
      <c r="H22"/>
      <c r="T22" s="6"/>
      <c r="U22" s="6"/>
      <c r="V22" s="6"/>
      <c r="W22" s="6"/>
      <c r="X22" s="64"/>
      <c r="Y22" s="8"/>
    </row>
    <row r="23" spans="1:25" ht="12.6" customHeight="1" x14ac:dyDescent="0.2">
      <c r="A23" s="7"/>
      <c r="B23" s="12"/>
      <c r="C23" s="13"/>
      <c r="D23" s="13"/>
      <c r="E23" s="13"/>
      <c r="F23" s="13"/>
      <c r="G23"/>
      <c r="H23"/>
      <c r="T23" s="6"/>
      <c r="U23" s="6"/>
      <c r="V23" s="6"/>
      <c r="W23" s="6"/>
      <c r="X23" s="64"/>
      <c r="Y23" s="8"/>
    </row>
    <row r="24" spans="1:25" ht="12.6" customHeight="1" x14ac:dyDescent="0.2">
      <c r="A24" s="7"/>
      <c r="B24" s="29"/>
      <c r="C24" s="70" t="s">
        <v>39</v>
      </c>
      <c r="D24" s="39"/>
      <c r="T24" s="6"/>
      <c r="U24" s="6"/>
      <c r="V24" s="6"/>
      <c r="W24" s="6"/>
      <c r="X24" s="64"/>
      <c r="Y24" s="8"/>
    </row>
    <row r="25" spans="1:25" ht="12.6" customHeight="1" x14ac:dyDescent="0.2">
      <c r="A25" s="7"/>
      <c r="B25" s="29"/>
      <c r="D25" s="3" t="s">
        <v>41</v>
      </c>
      <c r="E25" s="3" t="s">
        <v>126</v>
      </c>
      <c r="F25" s="76">
        <v>1.6</v>
      </c>
      <c r="H25" s="55"/>
      <c r="T25" s="6"/>
      <c r="U25" s="6"/>
      <c r="V25" s="6"/>
      <c r="W25" s="6"/>
      <c r="X25" s="64"/>
      <c r="Y25" s="8"/>
    </row>
    <row r="26" spans="1:25" ht="12.6" customHeight="1" x14ac:dyDescent="0.2">
      <c r="A26" s="7"/>
      <c r="B26" s="29"/>
      <c r="D26" s="3" t="s">
        <v>128</v>
      </c>
      <c r="E26" s="3" t="s">
        <v>127</v>
      </c>
      <c r="F26" s="76">
        <v>1.3</v>
      </c>
      <c r="H26" s="55"/>
      <c r="T26" s="6"/>
      <c r="U26" s="6"/>
      <c r="V26" s="6"/>
      <c r="W26" s="6"/>
      <c r="X26" s="64"/>
      <c r="Y26" s="8"/>
    </row>
    <row r="27" spans="1:25" ht="12.6" customHeight="1" x14ac:dyDescent="0.2">
      <c r="A27" s="7"/>
      <c r="B27" s="29"/>
      <c r="D27" s="3" t="s">
        <v>92</v>
      </c>
      <c r="E27" s="3" t="s">
        <v>94</v>
      </c>
      <c r="F27" s="76">
        <v>1.5</v>
      </c>
      <c r="H27" s="55"/>
      <c r="T27" s="6"/>
      <c r="U27" s="6"/>
      <c r="V27" s="6"/>
      <c r="W27" s="6"/>
      <c r="X27" s="64"/>
      <c r="Y27" s="8"/>
    </row>
    <row r="28" spans="1:25" ht="12.6" customHeight="1" x14ac:dyDescent="0.2">
      <c r="A28" s="7"/>
      <c r="B28" s="29"/>
      <c r="C28" s="3"/>
      <c r="D28" s="3" t="s">
        <v>91</v>
      </c>
      <c r="E28" s="3" t="s">
        <v>93</v>
      </c>
      <c r="F28" s="76">
        <v>1.6</v>
      </c>
      <c r="H28" s="55"/>
      <c r="T28" s="6"/>
      <c r="U28" s="6"/>
      <c r="V28" s="6"/>
      <c r="W28" s="6"/>
      <c r="X28" s="64"/>
      <c r="Y28" s="8"/>
    </row>
    <row r="29" spans="1:25" ht="12.6" customHeight="1" x14ac:dyDescent="0.2">
      <c r="C29" s="3"/>
      <c r="X29" s="64"/>
      <c r="Y29" s="8"/>
    </row>
    <row r="30" spans="1:25" ht="12.6" customHeight="1" x14ac:dyDescent="0.2">
      <c r="B30" s="9" t="s">
        <v>134</v>
      </c>
      <c r="C30" s="3"/>
      <c r="X30" s="64"/>
      <c r="Y30" s="8"/>
    </row>
    <row r="31" spans="1:25" ht="12.6" customHeight="1" x14ac:dyDescent="0.2">
      <c r="D31" s="3" t="s">
        <v>138</v>
      </c>
      <c r="E31" s="3" t="s">
        <v>164</v>
      </c>
      <c r="F31" s="8">
        <f>Vp*gammaG+Vv*gammaQ</f>
        <v>3300</v>
      </c>
      <c r="G31" s="8" t="s">
        <v>25</v>
      </c>
      <c r="X31" s="64"/>
      <c r="Y31" s="8"/>
    </row>
    <row r="32" spans="1:25" ht="12.6" customHeight="1" x14ac:dyDescent="0.2">
      <c r="C32" s="3"/>
      <c r="D32" s="3" t="s">
        <v>139</v>
      </c>
      <c r="E32" s="3" t="s">
        <v>140</v>
      </c>
      <c r="F32" s="8">
        <f>Fup*gammaQ</f>
        <v>1300</v>
      </c>
      <c r="G32" s="8" t="s">
        <v>25</v>
      </c>
      <c r="X32" s="64"/>
      <c r="Y32" s="8"/>
    </row>
    <row r="33" spans="2:25" ht="12.6" customHeight="1" x14ac:dyDescent="0.2">
      <c r="C33" s="3"/>
      <c r="X33" s="64"/>
      <c r="Y33" s="8"/>
    </row>
    <row r="34" spans="2:25" ht="12.6" customHeight="1" x14ac:dyDescent="0.2">
      <c r="C34" s="3"/>
      <c r="X34" s="64"/>
      <c r="Y34" s="8"/>
    </row>
    <row r="35" spans="2:25" ht="12.6" customHeight="1" x14ac:dyDescent="0.2">
      <c r="B35" s="9" t="s">
        <v>135</v>
      </c>
      <c r="C35" s="39"/>
      <c r="D35" s="39"/>
      <c r="X35" s="64"/>
      <c r="Y35" s="8"/>
    </row>
    <row r="36" spans="2:25" ht="12.6" customHeight="1" x14ac:dyDescent="0.2">
      <c r="C36" s="3"/>
      <c r="D36" s="3"/>
      <c r="E36" s="3" t="s">
        <v>95</v>
      </c>
      <c r="F36" s="55">
        <f>L</f>
        <v>30</v>
      </c>
      <c r="G36" s="55" t="s">
        <v>0</v>
      </c>
      <c r="X36" s="66"/>
      <c r="Y36" s="8"/>
    </row>
    <row r="37" spans="2:25" ht="12.6" customHeight="1" x14ac:dyDescent="0.2">
      <c r="C37" s="3"/>
      <c r="D37" s="3"/>
      <c r="E37" s="3" t="s">
        <v>73</v>
      </c>
      <c r="F37" s="55">
        <f>PL</f>
        <v>-20</v>
      </c>
      <c r="G37" s="55" t="s">
        <v>53</v>
      </c>
      <c r="X37" s="66"/>
      <c r="Y37" s="8"/>
    </row>
    <row r="38" spans="2:25" ht="12.6" customHeight="1" x14ac:dyDescent="0.2">
      <c r="C38" s="3"/>
      <c r="D38" s="3"/>
      <c r="E38" s="3"/>
      <c r="F38" s="55"/>
      <c r="G38" s="55"/>
      <c r="X38" s="66"/>
      <c r="Y38" s="8"/>
    </row>
    <row r="39" spans="2:25" ht="12.6" customHeight="1" x14ac:dyDescent="0.2">
      <c r="C39" s="70" t="s">
        <v>132</v>
      </c>
      <c r="D39" s="3"/>
      <c r="E39" s="3"/>
      <c r="F39" s="55"/>
      <c r="G39" s="55"/>
      <c r="X39" s="66"/>
      <c r="Y39" s="8"/>
    </row>
    <row r="40" spans="2:25" ht="12.6" customHeight="1" x14ac:dyDescent="0.2">
      <c r="D40" s="3" t="s">
        <v>92</v>
      </c>
      <c r="E40" s="33" t="s">
        <v>129</v>
      </c>
      <c r="F40" s="55">
        <f>MIN(_xlfn.XLOOKUP($F$37,B:B,Z:Z,"Error",1)/gammat,(_xlfn.XLOOKUP($F$37,B:B,Y:Y,"Error",1)/gammab)+(_xlfn.XLOOKUP($F$37,B:B,X:X,"Error",1)/gammas))</f>
        <v>1889.3702524648882</v>
      </c>
      <c r="G40" s="8" t="s">
        <v>25</v>
      </c>
      <c r="X40" s="64"/>
      <c r="Y40" s="8"/>
    </row>
    <row r="41" spans="2:25" ht="12.6" customHeight="1" x14ac:dyDescent="0.2">
      <c r="D41" s="3" t="s">
        <v>131</v>
      </c>
      <c r="E41" s="33" t="s">
        <v>130</v>
      </c>
      <c r="F41" s="55">
        <f>_xlfn.XLOOKUP($F$37,B:B,AA:AA,"Error",1)/gammast</f>
        <v>761.08026822708291</v>
      </c>
      <c r="G41" s="8" t="s">
        <v>25</v>
      </c>
      <c r="X41" s="64"/>
      <c r="Y41" s="8"/>
    </row>
    <row r="42" spans="2:25" ht="12.6" customHeight="1" x14ac:dyDescent="0.3">
      <c r="C42" s="3"/>
      <c r="D42" s="3" t="s">
        <v>162</v>
      </c>
      <c r="E42" s="32" t="s">
        <v>141</v>
      </c>
      <c r="F42" s="55">
        <f>F40/F31</f>
        <v>0.57253644014087524</v>
      </c>
      <c r="X42" s="64"/>
      <c r="Y42" s="8"/>
    </row>
    <row r="43" spans="2:25" ht="12.6" customHeight="1" x14ac:dyDescent="0.3">
      <c r="C43" s="3"/>
      <c r="D43" s="88" t="s">
        <v>165</v>
      </c>
      <c r="E43" s="32" t="s">
        <v>142</v>
      </c>
      <c r="F43" s="77">
        <f>F31/F40</f>
        <v>1.746613717292729</v>
      </c>
      <c r="X43" s="64"/>
      <c r="Y43" s="8"/>
    </row>
    <row r="44" spans="2:25" ht="12.6" customHeight="1" x14ac:dyDescent="0.2">
      <c r="C44" s="3"/>
      <c r="D44" s="8" t="str">
        <f>IF(F42&gt;1,"Safe: The pile effectively resists the applied compression load for long term","Not Safe: The pile fails to resist the applied compression load for long term")</f>
        <v>Not Safe: The pile fails to resist the applied compression load for long term</v>
      </c>
      <c r="E44" s="32"/>
      <c r="F44" s="77"/>
      <c r="X44" s="64"/>
      <c r="Y44" s="8"/>
    </row>
    <row r="45" spans="2:25" ht="12.6" customHeight="1" x14ac:dyDescent="0.2">
      <c r="C45" s="3"/>
      <c r="D45" s="3"/>
      <c r="E45" s="32"/>
      <c r="F45" s="77"/>
      <c r="X45" s="64"/>
      <c r="Y45" s="8"/>
    </row>
    <row r="46" spans="2:25" ht="12.6" customHeight="1" x14ac:dyDescent="0.3">
      <c r="C46" s="3"/>
      <c r="D46" s="3" t="s">
        <v>145</v>
      </c>
      <c r="E46" s="32" t="s">
        <v>143</v>
      </c>
      <c r="F46" s="55">
        <f>F41/F32</f>
        <v>0.58544636017467921</v>
      </c>
      <c r="X46" s="64"/>
      <c r="Y46" s="8"/>
    </row>
    <row r="47" spans="2:25" ht="12.6" customHeight="1" x14ac:dyDescent="0.3">
      <c r="C47" s="3"/>
      <c r="D47" s="3" t="s">
        <v>146</v>
      </c>
      <c r="E47" s="32" t="s">
        <v>144</v>
      </c>
      <c r="F47" s="77">
        <f>F32/F41</f>
        <v>1.708098415201746</v>
      </c>
      <c r="X47" s="64"/>
      <c r="Y47" s="8"/>
    </row>
    <row r="48" spans="2:25" ht="12.6" customHeight="1" x14ac:dyDescent="0.2">
      <c r="C48" s="3"/>
      <c r="D48" s="8" t="str">
        <f>IF(F46&gt;1,"Safe: The pile effectively resists the applied uplift load for long term","Not Safe: The pile fails to resist the applied uplift load for long term")</f>
        <v>Not Safe: The pile fails to resist the applied uplift load for long term</v>
      </c>
      <c r="E48" s="33"/>
      <c r="F48" s="55"/>
      <c r="X48" s="64"/>
      <c r="Y48" s="8"/>
    </row>
    <row r="49" spans="1:34" ht="12.6" customHeight="1" x14ac:dyDescent="0.2">
      <c r="C49" s="3"/>
      <c r="D49" s="3"/>
      <c r="E49" s="33"/>
      <c r="F49" s="55"/>
      <c r="X49" s="64"/>
      <c r="Y49" s="8"/>
    </row>
    <row r="50" spans="1:34" ht="12.6" customHeight="1" x14ac:dyDescent="0.2">
      <c r="C50" s="70" t="s">
        <v>133</v>
      </c>
      <c r="D50" s="3"/>
      <c r="E50" s="33"/>
      <c r="F50" s="55"/>
      <c r="X50" s="64"/>
      <c r="Y50" s="8"/>
    </row>
    <row r="51" spans="1:34" ht="12.6" customHeight="1" x14ac:dyDescent="0.2">
      <c r="C51" s="3"/>
      <c r="D51" s="3" t="s">
        <v>92</v>
      </c>
      <c r="E51" s="33" t="s">
        <v>129</v>
      </c>
      <c r="F51" s="55">
        <f>MIN(_xlfn.XLOOKUP($F$37,B:B,AG:AG,"Error",1)/gammat,(_xlfn.XLOOKUP($F$37,B:B,AF:AF,"Error",1)/gammab)+(_xlfn.XLOOKUP($F$37,B:B,AE:AE,"Error",1)/gammas))</f>
        <v>2661.7979673419504</v>
      </c>
      <c r="G51" s="8" t="s">
        <v>25</v>
      </c>
      <c r="X51" s="64"/>
      <c r="Y51" s="8"/>
    </row>
    <row r="52" spans="1:34" ht="12.6" customHeight="1" x14ac:dyDescent="0.2">
      <c r="C52" s="3"/>
      <c r="D52" s="3" t="s">
        <v>131</v>
      </c>
      <c r="E52" s="33" t="s">
        <v>130</v>
      </c>
      <c r="F52" s="55">
        <f>_xlfn.XLOOKUP($F$37,B:B,AH:AH,"Error",1)/gammast</f>
        <v>1246.2614266342375</v>
      </c>
      <c r="G52" s="8" t="s">
        <v>25</v>
      </c>
      <c r="X52" s="64"/>
      <c r="Y52" s="8"/>
    </row>
    <row r="53" spans="1:34" ht="12.6" customHeight="1" x14ac:dyDescent="0.3">
      <c r="C53" s="3"/>
      <c r="D53" s="3" t="s">
        <v>162</v>
      </c>
      <c r="E53" s="32" t="s">
        <v>141</v>
      </c>
      <c r="F53" s="55">
        <f>F51/F31</f>
        <v>0.80660544464907591</v>
      </c>
      <c r="X53" s="64"/>
      <c r="Y53" s="8"/>
    </row>
    <row r="54" spans="1:34" ht="12.6" customHeight="1" x14ac:dyDescent="0.3">
      <c r="C54" s="3"/>
      <c r="D54" s="88" t="s">
        <v>163</v>
      </c>
      <c r="E54" s="32" t="s">
        <v>142</v>
      </c>
      <c r="F54" s="77">
        <f>F31/F51</f>
        <v>1.2397635134177192</v>
      </c>
      <c r="X54" s="64"/>
      <c r="Y54" s="8"/>
    </row>
    <row r="55" spans="1:34" ht="12.6" customHeight="1" x14ac:dyDescent="0.2">
      <c r="C55" s="3"/>
      <c r="D55" s="8" t="str">
        <f>IF(F53&gt;1,"Safe: The pile effectively resists the applied compression load for long term","Not Safe: The pile fails to resist the applied compression load for long term")</f>
        <v>Not Safe: The pile fails to resist the applied compression load for long term</v>
      </c>
      <c r="E55" s="32"/>
      <c r="F55" s="77"/>
      <c r="X55" s="64"/>
      <c r="Y55" s="8"/>
    </row>
    <row r="56" spans="1:34" ht="12.6" customHeight="1" x14ac:dyDescent="0.2">
      <c r="C56" s="3"/>
      <c r="D56" s="3"/>
      <c r="E56" s="32"/>
      <c r="F56" s="77"/>
      <c r="X56" s="64"/>
      <c r="Y56" s="8"/>
    </row>
    <row r="57" spans="1:34" ht="12.6" customHeight="1" x14ac:dyDescent="0.3">
      <c r="D57" s="3" t="s">
        <v>145</v>
      </c>
      <c r="E57" s="32" t="s">
        <v>143</v>
      </c>
      <c r="F57" s="55">
        <f>F52/F32</f>
        <v>0.95866263587249045</v>
      </c>
      <c r="X57" s="64"/>
      <c r="Y57" s="8"/>
    </row>
    <row r="58" spans="1:34" ht="12.6" customHeight="1" x14ac:dyDescent="0.3">
      <c r="D58" s="3" t="s">
        <v>146</v>
      </c>
      <c r="E58" s="32" t="s">
        <v>144</v>
      </c>
      <c r="F58" s="77">
        <f>F32/F52</f>
        <v>1.0431198239930233</v>
      </c>
      <c r="X58" s="64"/>
      <c r="Y58" s="8"/>
    </row>
    <row r="59" spans="1:34" ht="12.6" customHeight="1" x14ac:dyDescent="0.2">
      <c r="D59" s="8" t="str">
        <f>IF(F57&gt;1,"Safe: The pile effectively resists the applied uplift load for long term","Not Safe: The pile fails to resist the applied uplift load for long term")</f>
        <v>Not Safe: The pile fails to resist the applied uplift load for long term</v>
      </c>
      <c r="X59" s="64"/>
      <c r="Y59" s="8"/>
    </row>
    <row r="60" spans="1:34" ht="12.6" customHeight="1" x14ac:dyDescent="0.2">
      <c r="X60" s="64"/>
      <c r="Y60" s="8"/>
    </row>
    <row r="61" spans="1:34" ht="12.95" customHeight="1" x14ac:dyDescent="0.2">
      <c r="B61" s="9" t="s">
        <v>150</v>
      </c>
      <c r="X61" s="64"/>
      <c r="Y61" s="8"/>
    </row>
    <row r="62" spans="1:34" ht="12.95" customHeight="1" x14ac:dyDescent="0.2">
      <c r="X62" s="64"/>
      <c r="Y62" s="8"/>
    </row>
    <row r="63" spans="1:34" ht="12.95" customHeight="1" x14ac:dyDescent="0.2">
      <c r="A63" s="111" t="s">
        <v>82</v>
      </c>
      <c r="B63" s="111"/>
      <c r="C63" s="111" t="s">
        <v>110</v>
      </c>
      <c r="D63" s="111" t="s">
        <v>71</v>
      </c>
      <c r="E63" s="111" t="s">
        <v>111</v>
      </c>
      <c r="F63" s="111" t="s">
        <v>112</v>
      </c>
      <c r="G63" s="111" t="s">
        <v>103</v>
      </c>
      <c r="H63" s="111"/>
      <c r="I63" s="111" t="s">
        <v>113</v>
      </c>
      <c r="J63" s="111"/>
      <c r="K63" s="111" t="s">
        <v>123</v>
      </c>
      <c r="L63" s="111"/>
      <c r="M63" s="111" t="s">
        <v>114</v>
      </c>
      <c r="N63" s="111" t="s">
        <v>104</v>
      </c>
      <c r="O63" s="111" t="s">
        <v>105</v>
      </c>
      <c r="P63" s="111" t="s">
        <v>77</v>
      </c>
      <c r="Q63" s="111"/>
      <c r="R63" s="111" t="s">
        <v>115</v>
      </c>
      <c r="S63" s="111" t="s">
        <v>79</v>
      </c>
      <c r="T63" s="111" t="s">
        <v>81</v>
      </c>
      <c r="U63" s="112" t="s">
        <v>88</v>
      </c>
      <c r="V63" s="112"/>
      <c r="W63" s="112"/>
      <c r="X63" s="112"/>
      <c r="Y63" s="112"/>
      <c r="Z63" s="112"/>
      <c r="AA63" s="112"/>
      <c r="AB63" s="111" t="s">
        <v>89</v>
      </c>
      <c r="AC63" s="111"/>
      <c r="AD63" s="111"/>
      <c r="AE63" s="111"/>
      <c r="AF63" s="111"/>
      <c r="AG63" s="111"/>
      <c r="AH63" s="111"/>
    </row>
    <row r="64" spans="1:34" ht="30" customHeight="1" x14ac:dyDescent="0.2">
      <c r="A64" s="111"/>
      <c r="B64" s="111"/>
      <c r="C64" s="111"/>
      <c r="D64" s="111"/>
      <c r="E64" s="111"/>
      <c r="F64" s="111"/>
      <c r="G64" s="111"/>
      <c r="H64" s="111"/>
      <c r="I64" s="111"/>
      <c r="J64" s="111"/>
      <c r="K64" s="111"/>
      <c r="L64" s="111"/>
      <c r="M64" s="111"/>
      <c r="N64" s="111"/>
      <c r="O64" s="111"/>
      <c r="P64" s="111"/>
      <c r="Q64" s="111"/>
      <c r="R64" s="111"/>
      <c r="S64" s="111"/>
      <c r="T64" s="111"/>
      <c r="U64" s="111" t="s">
        <v>116</v>
      </c>
      <c r="V64" s="111" t="s">
        <v>117</v>
      </c>
      <c r="W64" s="111" t="s">
        <v>118</v>
      </c>
      <c r="X64" s="111" t="s">
        <v>119</v>
      </c>
      <c r="Y64" s="111" t="s">
        <v>120</v>
      </c>
      <c r="Z64" s="111" t="s">
        <v>121</v>
      </c>
      <c r="AA64" s="111" t="s">
        <v>122</v>
      </c>
      <c r="AB64" s="111" t="s">
        <v>116</v>
      </c>
      <c r="AC64" s="111" t="s">
        <v>117</v>
      </c>
      <c r="AD64" s="111" t="s">
        <v>118</v>
      </c>
      <c r="AE64" s="111" t="s">
        <v>119</v>
      </c>
      <c r="AF64" s="111" t="s">
        <v>120</v>
      </c>
      <c r="AG64" s="111" t="s">
        <v>121</v>
      </c>
      <c r="AH64" s="111" t="s">
        <v>122</v>
      </c>
    </row>
    <row r="65" spans="1:34" ht="30" customHeight="1" x14ac:dyDescent="0.2">
      <c r="A65" s="74" t="s">
        <v>83</v>
      </c>
      <c r="B65" s="74" t="s">
        <v>84</v>
      </c>
      <c r="C65" s="111"/>
      <c r="D65" s="111"/>
      <c r="E65" s="111"/>
      <c r="F65" s="111"/>
      <c r="G65" s="74" t="s">
        <v>85</v>
      </c>
      <c r="H65" s="74" t="s">
        <v>87</v>
      </c>
      <c r="I65" s="74" t="s">
        <v>85</v>
      </c>
      <c r="J65" s="74" t="s">
        <v>87</v>
      </c>
      <c r="K65" s="74" t="s">
        <v>85</v>
      </c>
      <c r="L65" s="74" t="s">
        <v>87</v>
      </c>
      <c r="M65" s="111"/>
      <c r="N65" s="111"/>
      <c r="O65" s="111"/>
      <c r="P65" s="74" t="s">
        <v>85</v>
      </c>
      <c r="Q65" s="74" t="s">
        <v>87</v>
      </c>
      <c r="R65" s="111"/>
      <c r="S65" s="111"/>
      <c r="T65" s="111"/>
      <c r="U65" s="111"/>
      <c r="V65" s="111"/>
      <c r="W65" s="111"/>
      <c r="X65" s="111"/>
      <c r="Y65" s="111"/>
      <c r="Z65" s="111"/>
      <c r="AA65" s="111"/>
      <c r="AB65" s="111"/>
      <c r="AC65" s="111"/>
      <c r="AD65" s="111"/>
      <c r="AE65" s="111"/>
      <c r="AF65" s="111"/>
      <c r="AG65" s="111"/>
      <c r="AH65" s="111"/>
    </row>
    <row r="66" spans="1:34" ht="30" hidden="1" customHeight="1" x14ac:dyDescent="0.2">
      <c r="A66" s="83"/>
      <c r="B66" s="83"/>
      <c r="C66" s="83"/>
      <c r="D66" s="83"/>
      <c r="E66" s="83"/>
      <c r="F66" s="83"/>
      <c r="G66" s="83"/>
      <c r="H66" s="83"/>
      <c r="I66" s="83"/>
      <c r="J66" s="83"/>
      <c r="K66" s="71"/>
      <c r="L66" s="71"/>
      <c r="M66" s="71"/>
      <c r="N66" s="71"/>
      <c r="O66" s="71"/>
      <c r="P66" s="67"/>
      <c r="Q66" s="67"/>
      <c r="R66" s="67"/>
      <c r="S66" s="67"/>
      <c r="T66" s="71"/>
      <c r="U66" s="67"/>
      <c r="V66" s="67"/>
      <c r="W66" s="67"/>
      <c r="X66" s="67"/>
      <c r="Y66" s="67"/>
      <c r="Z66" s="67"/>
      <c r="AA66" s="67"/>
      <c r="AB66" s="83"/>
      <c r="AC66" s="83"/>
      <c r="AD66" s="83"/>
      <c r="AE66" s="6"/>
      <c r="AF66" s="6"/>
      <c r="AG66" s="6"/>
      <c r="AH66" s="6"/>
    </row>
    <row r="67" spans="1:34" ht="12.95" customHeight="1" x14ac:dyDescent="0.2">
      <c r="A67" s="84">
        <f>'Data input'!$C$39</f>
        <v>10</v>
      </c>
      <c r="B67" s="84">
        <f>A67-1</f>
        <v>9</v>
      </c>
      <c r="C67" s="84">
        <f t="shared" ref="C67:C98" si="0">C66+gammaConc*(A67-B67)*PI()*(D/2000)^2</f>
        <v>27.143360527015812</v>
      </c>
      <c r="D67" s="41" t="str">
        <f>INDEX('Data input'!D:D, MATCH(A67, 'Data input'!C:C, -1))</f>
        <v>MG</v>
      </c>
      <c r="E67" s="84">
        <f>INDEX('Data input'!H:H, MATCH(A67, 'Data input'!C:C, -1))/gammagamma</f>
        <v>17</v>
      </c>
      <c r="F67" s="91">
        <f>INDEX('Data input'!G:G, MATCH(A67, 'Data input'!C:C, -1))/gammaPhi</f>
        <v>21.6</v>
      </c>
      <c r="G67" s="84">
        <f t="shared" ref="G67:G98" si="1">MAX(0, (IF(Dewatered="Yes", MIN(GWT, Exc), GWT) - (A67+B67)/2) * 9.81)</f>
        <v>0</v>
      </c>
      <c r="H67" s="84">
        <f t="shared" ref="H67:H98" si="2">MAX(0, (IF(Dewatered="Yes", MIN(GWT, Exc), GWT) - B67) * 9.81)</f>
        <v>0</v>
      </c>
      <c r="I67" s="84">
        <f t="shared" ref="I67:I98" si="3">IF(AND(Dewatered="Yes", A67&gt;=Exc),0,J66+(E67 * MAX(0, MIN(A67, Exc) - B67)+ 9.81 * IF(Dewatered="Yes",0,MAX(0, MIN(A67, GWT) - MAX(B67, Exc))))*(A67-B67)/2)</f>
        <v>0</v>
      </c>
      <c r="J67" s="84">
        <f t="shared" ref="J67:J98" si="4">IF(AND(Dewatered="Yes", A67&gt;=Exc),0,J66+ E67 * MAX(0, MIN(A67, Exc) - B67)+ 9.81 * IF(Dewatered="Yes",0,MAX(0, MIN(A67, GWT) - MAX(B67, Exc))))</f>
        <v>0</v>
      </c>
      <c r="K67" s="84">
        <f>I67-G67</f>
        <v>0</v>
      </c>
      <c r="L67" s="84">
        <f>J67-H67</f>
        <v>0</v>
      </c>
      <c r="M67" s="91">
        <f>F67/1</f>
        <v>21.6</v>
      </c>
      <c r="N67" s="84">
        <f>IF(ISNUMBER(INDEX('Data input'!I:I, MATCH(A67, 'Data input'!C:C, -1))),INDEX('Data input'!I:I, MATCH(A67, 'Data input'!C:C, -1)),1-SIN(RADIANS(F67)))</f>
        <v>0.63187544731532208</v>
      </c>
      <c r="O67" s="84">
        <f>N67*TAN(RADIANS(M67))</f>
        <v>0.25017718766372493</v>
      </c>
      <c r="P67" s="84" cm="1">
        <f t="array" ref="P67">(IFERROR(
    IF(
        OR(
            INDEX('Data input'!$D:$D, MATCH((A67+B67)/2, 'Data input'!$C$39:$C$117, -1)+36)&lt;&gt;"CLAY",
            INDEX('Data input'!$E:$E, MATCH((A67+B67)/2, 'Data input'!$C$39:$C$117, -1)+36)=0
        ),
        0,
        INDEX('Data input'!$E:$E, MATCH((A67+B67)/2, 'Data input'!$C$39:$C$117, -1)+36)
        +
        (
            (INDEX('Data input'!$F:$F, MATCH((A67+B67)/2, 'Data input'!$C$39:$C$117, -1)+36)
            -
            INDEX('Data input'!$E:$E, MATCH((A67+B67)/2, 'Data input'!$C$39:$C$117, -1)+36))
            /
            (INDEX('Data input'!$C:$C, MATCH((A67+B67)/2, 'Data input'!$C$39:$C$117, -1)+36)
            -
            IF(
                MATCH((A67+B67)/2, 'Data input'!$C$39:$C$117, -1)+36=41,
                -1000,
                INDEX('Data input'!$C:$C, MATCH((A67+B67)/2, 'Data input'!$C$39:$C$117, -1)+37)
            ))
        )
        *
        (INDEX('Data input'!$C:$C, MATCH((A67+B67)/2, 'Data input'!$C$39:$C$117, -1)+36) - (A67+B67)/2)
    ),
    ""
))/gammacu</f>
        <v>0</v>
      </c>
      <c r="Q67" s="84" cm="1">
        <f t="array" ref="Q67">(IFERROR(
    IF(
        OR(
            INDEX('Data input'!$D:$D, MATCH(B67+0.00001, 'Data input'!$C$39:$C$117, -1)+36)&lt;&gt;"CLAY",
            INDEX('Data input'!$E:$E, MATCH(B67+0.00001, 'Data input'!$C$39:$C$117, -1)+36)=0
        ),
        0,
        INDEX('Data input'!$E:$E, MATCH(B67+0.00001, 'Data input'!$C$39:$C$117, -1)+36)
        +
        (
            (INDEX('Data input'!$F:$F, MATCH(B67+0.00001, 'Data input'!$C$39:$C$117, -1)+36)
            -
            INDEX('Data input'!$E:$E, MATCH(B67+0.00001, 'Data input'!$C$39:$C$117, -1)+36))
            /
            (INDEX('Data input'!$C:$C, MATCH(B67+0.00001, 'Data input'!$C$39:$C$117, -1)+36)
            -
            IF(
                MATCH(B67+0.00001, 'Data input'!$C$39:$C$117, -1)+36=41,
                -1000,
                INDEX('Data input'!$C:$C, MATCH(B67+0.00001, 'Data input'!$C$39:$C$117, -1)+37)
            ))
        )
        *
        (INDEX('Data input'!$C:$C, MATCH(B67+0.00001, 'Data input'!$C$39:$C$117, -1)+36) - B67)
    ),
    ""
))/gammacu</f>
        <v>0</v>
      </c>
      <c r="R67" s="84" t="str">
        <f t="shared" ref="R67:R98" si="5">IF(UPPER(D67)="CLAY",IF(P67&lt;=25,1,IF(P67&gt;=70,0.5,(1-(P67-25)/70))),"-")</f>
        <v>-</v>
      </c>
      <c r="S67" s="84" t="str">
        <f t="shared" ref="S67:S98" si="6">IF(UPPER(D67)="CLAY",MIN(6*(1+0.2*($A$67-B67)*1000/D),9),"-")</f>
        <v>-</v>
      </c>
      <c r="T67" s="84">
        <f t="shared" ref="T67:T98" si="7">0.176*EXP(0.177*M67)</f>
        <v>8.0520660933294934</v>
      </c>
      <c r="U67" s="84">
        <f t="shared" ref="U67:U98" si="8">IF(B67&gt;=Exc,0,MIN(IF(UPPER(D67)="CLAY",R67*P67,O67*K67),limit.fs))</f>
        <v>0</v>
      </c>
      <c r="V67" s="84">
        <f t="shared" ref="V67:V98" si="9">IF(B67&gt;=Exc,0,MIN(U67*0.67,limit.f.t))</f>
        <v>0</v>
      </c>
      <c r="W67" s="84">
        <f t="shared" ref="W67:W98" si="10">IF(B67&gt;=Exc,0,MIN(IF(UPPER(D67)="CLAY",S67*Q67,T67*L67),limit.fb))</f>
        <v>0</v>
      </c>
      <c r="X67" s="84">
        <f t="shared" ref="X67:X98" si="11">IF(B67&gt;=Exc,0,X66+PI()*(D/1000)*(A67-B67)*U67)</f>
        <v>0</v>
      </c>
      <c r="Y67" s="84">
        <f t="shared" ref="Y67:Y98" si="12">IF(B67&gt;=Exc,0,W67*PI()*(D/2000)^2)</f>
        <v>0</v>
      </c>
      <c r="Z67" s="84">
        <f t="shared" ref="Z67:Z98" si="13">IF(B67&gt;=Exc,0,MAX(X67+Y67-C67,0))</f>
        <v>0</v>
      </c>
      <c r="AA67" s="84">
        <f t="shared" ref="AA67:AA98" si="14">IF(B67&gt;=Exc,0,AA66+PI()*(D/1000)*(A67-B67)*V67+gammaConc*(A67-B67)*PI()*(D/2000)^2)</f>
        <v>0</v>
      </c>
      <c r="AB67" s="84">
        <f t="shared" ref="AB67:AB98" si="15">IF(B67&gt;=Exc,0,MIN(O67*K67,limit.fs))</f>
        <v>0</v>
      </c>
      <c r="AC67" s="84">
        <f t="shared" ref="AC67:AC98" si="16">IF(B67&gt;=Exc,0,MIN(AB67*0.67,limit.f.t))</f>
        <v>0</v>
      </c>
      <c r="AD67" s="84">
        <f t="shared" ref="AD67:AD98" si="17">IF(B67&gt;=Exc,0,MIN(T67*L67,limit.fb))</f>
        <v>0</v>
      </c>
      <c r="AE67" s="84">
        <f t="shared" ref="AE67:AE98" si="18">IF(B67&gt;=Exc,0,AE66+PI()*(D/1000)*(A67-B67)*AB67)</f>
        <v>0</v>
      </c>
      <c r="AF67" s="84">
        <f t="shared" ref="AF67:AF98" si="19">IF(B67&gt;=Exc,0,AD67*PI()*(D/2000)^2)</f>
        <v>0</v>
      </c>
      <c r="AG67" s="84">
        <f t="shared" ref="AG67:AG98" si="20">IF(B67&gt;=Exc,0,MAX(AE67+AF67-C67,0))</f>
        <v>0</v>
      </c>
      <c r="AH67" s="84">
        <f t="shared" ref="AH67:AH98" si="21">IF(B67&gt;=Exc,0,AH66+PI()*(D/1000)*(A67-B67)*AC67+gammaConc*(A67-B67)*PI()*(D/2000)^2)</f>
        <v>0</v>
      </c>
    </row>
    <row r="68" spans="1:34" ht="12.95" customHeight="1" x14ac:dyDescent="0.2">
      <c r="A68" s="84">
        <f>B67</f>
        <v>9</v>
      </c>
      <c r="B68" s="84">
        <f t="shared" ref="B68:B115" si="22">A68-1</f>
        <v>8</v>
      </c>
      <c r="C68" s="84">
        <f t="shared" si="0"/>
        <v>54.286721054031624</v>
      </c>
      <c r="D68" s="41" t="str">
        <f>INDEX('Data input'!D:D, MATCH(A68, 'Data input'!C:C, -1))</f>
        <v>MG</v>
      </c>
      <c r="E68" s="84">
        <f>INDEX('Data input'!H:H, MATCH(A68, 'Data input'!C:C, -1))/gammagamma</f>
        <v>17</v>
      </c>
      <c r="F68" s="91">
        <f>INDEX('Data input'!G:G, MATCH(A68, 'Data input'!C:C, -1))/gammaPhi</f>
        <v>21.6</v>
      </c>
      <c r="G68" s="84">
        <f t="shared" si="1"/>
        <v>0</v>
      </c>
      <c r="H68" s="84">
        <f t="shared" si="2"/>
        <v>0</v>
      </c>
      <c r="I68" s="84">
        <f t="shared" si="3"/>
        <v>0</v>
      </c>
      <c r="J68" s="84">
        <f t="shared" si="4"/>
        <v>0</v>
      </c>
      <c r="K68" s="84">
        <f t="shared" ref="K68:L107" si="23">I68-G68</f>
        <v>0</v>
      </c>
      <c r="L68" s="84">
        <f t="shared" si="23"/>
        <v>0</v>
      </c>
      <c r="M68" s="91">
        <f t="shared" ref="M68:M116" si="24">F68/1</f>
        <v>21.6</v>
      </c>
      <c r="N68" s="84">
        <f>IF(ISNUMBER(INDEX('Data input'!I:I, MATCH(A68, 'Data input'!C:C, -1))),INDEX('Data input'!I:I, MATCH(A68, 'Data input'!C:C, -1)),1-SIN(RADIANS(F68)))</f>
        <v>0.63187544731532208</v>
      </c>
      <c r="O68" s="84">
        <f t="shared" ref="O68:O116" si="25">N68*TAN(RADIANS(M68))</f>
        <v>0.25017718766372493</v>
      </c>
      <c r="P68" s="84" cm="1">
        <f t="array" ref="P68">(IFERROR(
    IF(
        OR(
            INDEX('Data input'!$D:$D, MATCH((A68+B68)/2, 'Data input'!$C$39:$C$117, -1)+36)&lt;&gt;"CLAY",
            INDEX('Data input'!$E:$E, MATCH((A68+B68)/2, 'Data input'!$C$39:$C$117, -1)+36)=0
        ),
        0,
        INDEX('Data input'!$E:$E, MATCH((A68+B68)/2, 'Data input'!$C$39:$C$117, -1)+36)
        +
        (
            (INDEX('Data input'!$F:$F, MATCH((A68+B68)/2, 'Data input'!$C$39:$C$117, -1)+36)
            -
            INDEX('Data input'!$E:$E, MATCH((A68+B68)/2, 'Data input'!$C$39:$C$117, -1)+36))
            /
            (INDEX('Data input'!$C:$C, MATCH((A68+B68)/2, 'Data input'!$C$39:$C$117, -1)+36)
            -
            IF(
                MATCH((A68+B68)/2, 'Data input'!$C$39:$C$117, -1)+36=41,
                -1000,
                INDEX('Data input'!$C:$C, MATCH((A68+B68)/2, 'Data input'!$C$39:$C$117, -1)+37)
            ))
        )
        *
        (INDEX('Data input'!$C:$C, MATCH((A68+B68)/2, 'Data input'!$C$39:$C$117, -1)+36) - (A68+B68)/2)
    ),
    ""
))/gammacu</f>
        <v>0</v>
      </c>
      <c r="Q68" s="84" cm="1">
        <f t="array" ref="Q68">(IFERROR(
    IF(
        OR(
            INDEX('Data input'!$D:$D, MATCH(B68+0.00001, 'Data input'!$C$39:$C$117, -1)+36)&lt;&gt;"CLAY",
            INDEX('Data input'!$E:$E, MATCH(B68+0.00001, 'Data input'!$C$39:$C$117, -1)+36)=0
        ),
        0,
        INDEX('Data input'!$E:$E, MATCH(B68+0.00001, 'Data input'!$C$39:$C$117, -1)+36)
        +
        (
            (INDEX('Data input'!$F:$F, MATCH(B68+0.00001, 'Data input'!$C$39:$C$117, -1)+36)
            -
            INDEX('Data input'!$E:$E, MATCH(B68+0.00001, 'Data input'!$C$39:$C$117, -1)+36))
            /
            (INDEX('Data input'!$C:$C, MATCH(B68+0.00001, 'Data input'!$C$39:$C$117, -1)+36)
            -
            IF(
                MATCH(B68+0.00001, 'Data input'!$C$39:$C$117, -1)+36=41,
                -1000,
                INDEX('Data input'!$C:$C, MATCH(B68+0.00001, 'Data input'!$C$39:$C$117, -1)+37)
            ))
        )
        *
        (INDEX('Data input'!$C:$C, MATCH(B68+0.00001, 'Data input'!$C$39:$C$117, -1)+36) - B68)
    ),
    ""
))/gammacu</f>
        <v>0</v>
      </c>
      <c r="R68" s="84" t="str">
        <f t="shared" si="5"/>
        <v>-</v>
      </c>
      <c r="S68" s="84" t="str">
        <f t="shared" si="6"/>
        <v>-</v>
      </c>
      <c r="T68" s="84">
        <f t="shared" si="7"/>
        <v>8.0520660933294934</v>
      </c>
      <c r="U68" s="84">
        <f t="shared" si="8"/>
        <v>0</v>
      </c>
      <c r="V68" s="84">
        <f t="shared" si="9"/>
        <v>0</v>
      </c>
      <c r="W68" s="84">
        <f t="shared" si="10"/>
        <v>0</v>
      </c>
      <c r="X68" s="84">
        <f t="shared" si="11"/>
        <v>0</v>
      </c>
      <c r="Y68" s="84">
        <f t="shared" si="12"/>
        <v>0</v>
      </c>
      <c r="Z68" s="84">
        <f t="shared" si="13"/>
        <v>0</v>
      </c>
      <c r="AA68" s="84">
        <f t="shared" si="14"/>
        <v>0</v>
      </c>
      <c r="AB68" s="84">
        <f t="shared" si="15"/>
        <v>0</v>
      </c>
      <c r="AC68" s="84">
        <f t="shared" si="16"/>
        <v>0</v>
      </c>
      <c r="AD68" s="84">
        <f t="shared" si="17"/>
        <v>0</v>
      </c>
      <c r="AE68" s="84">
        <f t="shared" si="18"/>
        <v>0</v>
      </c>
      <c r="AF68" s="84">
        <f t="shared" si="19"/>
        <v>0</v>
      </c>
      <c r="AG68" s="84">
        <f t="shared" si="20"/>
        <v>0</v>
      </c>
      <c r="AH68" s="84">
        <f t="shared" si="21"/>
        <v>0</v>
      </c>
    </row>
    <row r="69" spans="1:34" ht="14.1" customHeight="1" x14ac:dyDescent="0.2">
      <c r="A69" s="84">
        <f t="shared" ref="A69:A116" si="26">B68</f>
        <v>8</v>
      </c>
      <c r="B69" s="84">
        <f t="shared" si="22"/>
        <v>7</v>
      </c>
      <c r="C69" s="84">
        <f t="shared" si="0"/>
        <v>81.430081581047432</v>
      </c>
      <c r="D69" s="41" t="str">
        <f>INDEX('Data input'!D:D, MATCH(A69, 'Data input'!C:C, -1))</f>
        <v>MG</v>
      </c>
      <c r="E69" s="84">
        <f>INDEX('Data input'!H:H, MATCH(A69, 'Data input'!C:C, -1))/gammagamma</f>
        <v>17</v>
      </c>
      <c r="F69" s="91">
        <f>INDEX('Data input'!G:G, MATCH(A69, 'Data input'!C:C, -1))/gammaPhi</f>
        <v>21.6</v>
      </c>
      <c r="G69" s="84">
        <f t="shared" si="1"/>
        <v>0</v>
      </c>
      <c r="H69" s="84">
        <f t="shared" si="2"/>
        <v>0</v>
      </c>
      <c r="I69" s="84">
        <f t="shared" si="3"/>
        <v>0</v>
      </c>
      <c r="J69" s="84">
        <f t="shared" si="4"/>
        <v>0</v>
      </c>
      <c r="K69" s="84">
        <f t="shared" si="23"/>
        <v>0</v>
      </c>
      <c r="L69" s="84">
        <f t="shared" si="23"/>
        <v>0</v>
      </c>
      <c r="M69" s="91">
        <f t="shared" si="24"/>
        <v>21.6</v>
      </c>
      <c r="N69" s="84">
        <f>IF(ISNUMBER(INDEX('Data input'!I:I, MATCH(A69, 'Data input'!C:C, -1))),INDEX('Data input'!I:I, MATCH(A69, 'Data input'!C:C, -1)),1-SIN(RADIANS(F69)))</f>
        <v>0.63187544731532208</v>
      </c>
      <c r="O69" s="84">
        <f t="shared" si="25"/>
        <v>0.25017718766372493</v>
      </c>
      <c r="P69" s="84" cm="1">
        <f t="array" ref="P69">(IFERROR(
    IF(
        OR(
            INDEX('Data input'!$D:$D, MATCH((A69+B69)/2, 'Data input'!$C$39:$C$117, -1)+36)&lt;&gt;"CLAY",
            INDEX('Data input'!$E:$E, MATCH((A69+B69)/2, 'Data input'!$C$39:$C$117, -1)+36)=0
        ),
        0,
        INDEX('Data input'!$E:$E, MATCH((A69+B69)/2, 'Data input'!$C$39:$C$117, -1)+36)
        +
        (
            (INDEX('Data input'!$F:$F, MATCH((A69+B69)/2, 'Data input'!$C$39:$C$117, -1)+36)
            -
            INDEX('Data input'!$E:$E, MATCH((A69+B69)/2, 'Data input'!$C$39:$C$117, -1)+36))
            /
            (INDEX('Data input'!$C:$C, MATCH((A69+B69)/2, 'Data input'!$C$39:$C$117, -1)+36)
            -
            IF(
                MATCH((A69+B69)/2, 'Data input'!$C$39:$C$117, -1)+36=41,
                -1000,
                INDEX('Data input'!$C:$C, MATCH((A69+B69)/2, 'Data input'!$C$39:$C$117, -1)+37)
            ))
        )
        *
        (INDEX('Data input'!$C:$C, MATCH((A69+B69)/2, 'Data input'!$C$39:$C$117, -1)+36) - (A69+B69)/2)
    ),
    ""
))/gammacu</f>
        <v>0</v>
      </c>
      <c r="Q69" s="84" cm="1">
        <f t="array" ref="Q69">(IFERROR(
    IF(
        OR(
            INDEX('Data input'!$D:$D, MATCH(B69+0.00001, 'Data input'!$C$39:$C$117, -1)+36)&lt;&gt;"CLAY",
            INDEX('Data input'!$E:$E, MATCH(B69+0.00001, 'Data input'!$C$39:$C$117, -1)+36)=0
        ),
        0,
        INDEX('Data input'!$E:$E, MATCH(B69+0.00001, 'Data input'!$C$39:$C$117, -1)+36)
        +
        (
            (INDEX('Data input'!$F:$F, MATCH(B69+0.00001, 'Data input'!$C$39:$C$117, -1)+36)
            -
            INDEX('Data input'!$E:$E, MATCH(B69+0.00001, 'Data input'!$C$39:$C$117, -1)+36))
            /
            (INDEX('Data input'!$C:$C, MATCH(B69+0.00001, 'Data input'!$C$39:$C$117, -1)+36)
            -
            IF(
                MATCH(B69+0.00001, 'Data input'!$C$39:$C$117, -1)+36=41,
                -1000,
                INDEX('Data input'!$C:$C, MATCH(B69+0.00001, 'Data input'!$C$39:$C$117, -1)+37)
            ))
        )
        *
        (INDEX('Data input'!$C:$C, MATCH(B69+0.00001, 'Data input'!$C$39:$C$117, -1)+36) - B69)
    ),
    ""
))/gammacu</f>
        <v>0</v>
      </c>
      <c r="R69" s="84" t="str">
        <f t="shared" si="5"/>
        <v>-</v>
      </c>
      <c r="S69" s="84" t="str">
        <f t="shared" si="6"/>
        <v>-</v>
      </c>
      <c r="T69" s="84">
        <f t="shared" si="7"/>
        <v>8.0520660933294934</v>
      </c>
      <c r="U69" s="84">
        <f t="shared" si="8"/>
        <v>0</v>
      </c>
      <c r="V69" s="84">
        <f t="shared" si="9"/>
        <v>0</v>
      </c>
      <c r="W69" s="84">
        <f t="shared" si="10"/>
        <v>0</v>
      </c>
      <c r="X69" s="84">
        <f t="shared" si="11"/>
        <v>0</v>
      </c>
      <c r="Y69" s="84">
        <f t="shared" si="12"/>
        <v>0</v>
      </c>
      <c r="Z69" s="84">
        <f t="shared" si="13"/>
        <v>0</v>
      </c>
      <c r="AA69" s="84">
        <f t="shared" si="14"/>
        <v>0</v>
      </c>
      <c r="AB69" s="84">
        <f t="shared" si="15"/>
        <v>0</v>
      </c>
      <c r="AC69" s="84">
        <f t="shared" si="16"/>
        <v>0</v>
      </c>
      <c r="AD69" s="84">
        <f t="shared" si="17"/>
        <v>0</v>
      </c>
      <c r="AE69" s="84">
        <f t="shared" si="18"/>
        <v>0</v>
      </c>
      <c r="AF69" s="84">
        <f t="shared" si="19"/>
        <v>0</v>
      </c>
      <c r="AG69" s="84">
        <f t="shared" si="20"/>
        <v>0</v>
      </c>
      <c r="AH69" s="84">
        <f t="shared" si="21"/>
        <v>0</v>
      </c>
    </row>
    <row r="70" spans="1:34" ht="14.1" customHeight="1" x14ac:dyDescent="0.2">
      <c r="A70" s="84">
        <f t="shared" si="26"/>
        <v>7</v>
      </c>
      <c r="B70" s="84">
        <f t="shared" si="22"/>
        <v>6</v>
      </c>
      <c r="C70" s="84">
        <f t="shared" si="0"/>
        <v>108.57344210806325</v>
      </c>
      <c r="D70" s="41" t="str">
        <f>INDEX('Data input'!D:D, MATCH(A70, 'Data input'!C:C, -1))</f>
        <v>CLAY</v>
      </c>
      <c r="E70" s="84">
        <f>INDEX('Data input'!H:H, MATCH(A70, 'Data input'!C:C, -1))/gammagamma</f>
        <v>18</v>
      </c>
      <c r="F70" s="91">
        <f>INDEX('Data input'!G:G, MATCH(A70, 'Data input'!C:C, -1))/gammaPhi</f>
        <v>17.600000000000001</v>
      </c>
      <c r="G70" s="84">
        <f t="shared" si="1"/>
        <v>0</v>
      </c>
      <c r="H70" s="84">
        <f t="shared" si="2"/>
        <v>0</v>
      </c>
      <c r="I70" s="84">
        <f t="shared" si="3"/>
        <v>0</v>
      </c>
      <c r="J70" s="84">
        <f t="shared" si="4"/>
        <v>0</v>
      </c>
      <c r="K70" s="84">
        <f t="shared" si="23"/>
        <v>0</v>
      </c>
      <c r="L70" s="84">
        <f t="shared" si="23"/>
        <v>0</v>
      </c>
      <c r="M70" s="91">
        <f t="shared" si="24"/>
        <v>17.600000000000001</v>
      </c>
      <c r="N70" s="84">
        <f>IF(ISNUMBER(INDEX('Data input'!I:I, MATCH(A70, 'Data input'!C:C, -1))),INDEX('Data input'!I:I, MATCH(A70, 'Data input'!C:C, -1)),1-SIN(RADIANS(F70)))</f>
        <v>0.69763010924955549</v>
      </c>
      <c r="O70" s="84">
        <f t="shared" si="25"/>
        <v>0.22130130628159894</v>
      </c>
      <c r="P70" s="84" cm="1">
        <f t="array" ref="P70">(IFERROR(
    IF(
        OR(
            INDEX('Data input'!$D:$D, MATCH((A70+B70)/2, 'Data input'!$C$39:$C$117, -1)+36)&lt;&gt;"CLAY",
            INDEX('Data input'!$E:$E, MATCH((A70+B70)/2, 'Data input'!$C$39:$C$117, -1)+36)=0
        ),
        0,
        INDEX('Data input'!$E:$E, MATCH((A70+B70)/2, 'Data input'!$C$39:$C$117, -1)+36)
        +
        (
            (INDEX('Data input'!$F:$F, MATCH((A70+B70)/2, 'Data input'!$C$39:$C$117, -1)+36)
            -
            INDEX('Data input'!$E:$E, MATCH((A70+B70)/2, 'Data input'!$C$39:$C$117, -1)+36))
            /
            (INDEX('Data input'!$C:$C, MATCH((A70+B70)/2, 'Data input'!$C$39:$C$117, -1)+36)
            -
            IF(
                MATCH((A70+B70)/2, 'Data input'!$C$39:$C$117, -1)+36=41,
                -1000,
                INDEX('Data input'!$C:$C, MATCH((A70+B70)/2, 'Data input'!$C$39:$C$117, -1)+37)
            ))
        )
        *
        (INDEX('Data input'!$C:$C, MATCH((A70+B70)/2, 'Data input'!$C$39:$C$117, -1)+36) - (A70+B70)/2)
    ),
    ""
))/gammacu</f>
        <v>0</v>
      </c>
      <c r="Q70" s="84" cm="1">
        <f t="array" ref="Q70">(IFERROR(
    IF(
        OR(
            INDEX('Data input'!$D:$D, MATCH(B70+0.00001, 'Data input'!$C$39:$C$117, -1)+36)&lt;&gt;"CLAY",
            INDEX('Data input'!$E:$E, MATCH(B70+0.00001, 'Data input'!$C$39:$C$117, -1)+36)=0
        ),
        0,
        INDEX('Data input'!$E:$E, MATCH(B70+0.00001, 'Data input'!$C$39:$C$117, -1)+36)
        +
        (
            (INDEX('Data input'!$F:$F, MATCH(B70+0.00001, 'Data input'!$C$39:$C$117, -1)+36)
            -
            INDEX('Data input'!$E:$E, MATCH(B70+0.00001, 'Data input'!$C$39:$C$117, -1)+36))
            /
            (INDEX('Data input'!$C:$C, MATCH(B70+0.00001, 'Data input'!$C$39:$C$117, -1)+36)
            -
            IF(
                MATCH(B70+0.00001, 'Data input'!$C$39:$C$117, -1)+36=41,
                -1000,
                INDEX('Data input'!$C:$C, MATCH(B70+0.00001, 'Data input'!$C$39:$C$117, -1)+37)
            ))
        )
        *
        (INDEX('Data input'!$C:$C, MATCH(B70+0.00001, 'Data input'!$C$39:$C$117, -1)+36) - B70)
    ),
    ""
))/gammacu</f>
        <v>0</v>
      </c>
      <c r="R70" s="84">
        <f t="shared" si="5"/>
        <v>1</v>
      </c>
      <c r="S70" s="84">
        <f t="shared" si="6"/>
        <v>9</v>
      </c>
      <c r="T70" s="84">
        <f t="shared" si="7"/>
        <v>3.9666769982864638</v>
      </c>
      <c r="U70" s="84">
        <f t="shared" si="8"/>
        <v>0</v>
      </c>
      <c r="V70" s="84">
        <f t="shared" si="9"/>
        <v>0</v>
      </c>
      <c r="W70" s="84">
        <f t="shared" si="10"/>
        <v>0</v>
      </c>
      <c r="X70" s="84">
        <f t="shared" si="11"/>
        <v>0</v>
      </c>
      <c r="Y70" s="84">
        <f t="shared" si="12"/>
        <v>0</v>
      </c>
      <c r="Z70" s="84">
        <f t="shared" si="13"/>
        <v>0</v>
      </c>
      <c r="AA70" s="84">
        <f t="shared" si="14"/>
        <v>0</v>
      </c>
      <c r="AB70" s="84">
        <f t="shared" si="15"/>
        <v>0</v>
      </c>
      <c r="AC70" s="84">
        <f t="shared" si="16"/>
        <v>0</v>
      </c>
      <c r="AD70" s="84">
        <f t="shared" si="17"/>
        <v>0</v>
      </c>
      <c r="AE70" s="84">
        <f t="shared" si="18"/>
        <v>0</v>
      </c>
      <c r="AF70" s="84">
        <f t="shared" si="19"/>
        <v>0</v>
      </c>
      <c r="AG70" s="84">
        <f t="shared" si="20"/>
        <v>0</v>
      </c>
      <c r="AH70" s="84">
        <f t="shared" si="21"/>
        <v>0</v>
      </c>
    </row>
    <row r="71" spans="1:34" ht="14.1" customHeight="1" x14ac:dyDescent="0.2">
      <c r="A71" s="84">
        <f t="shared" si="26"/>
        <v>6</v>
      </c>
      <c r="B71" s="84">
        <f t="shared" si="22"/>
        <v>5</v>
      </c>
      <c r="C71" s="84">
        <f t="shared" si="0"/>
        <v>135.71680263507906</v>
      </c>
      <c r="D71" s="41" t="str">
        <f>INDEX('Data input'!D:D, MATCH(A71, 'Data input'!C:C, -1))</f>
        <v>CLAY</v>
      </c>
      <c r="E71" s="84">
        <f>INDEX('Data input'!H:H, MATCH(A71, 'Data input'!C:C, -1))/gammagamma</f>
        <v>18</v>
      </c>
      <c r="F71" s="91">
        <f>INDEX('Data input'!G:G, MATCH(A71, 'Data input'!C:C, -1))/gammaPhi</f>
        <v>17.600000000000001</v>
      </c>
      <c r="G71" s="84">
        <f t="shared" si="1"/>
        <v>0</v>
      </c>
      <c r="H71" s="84">
        <f t="shared" si="2"/>
        <v>0</v>
      </c>
      <c r="I71" s="84">
        <f t="shared" si="3"/>
        <v>0</v>
      </c>
      <c r="J71" s="84">
        <f t="shared" si="4"/>
        <v>0</v>
      </c>
      <c r="K71" s="84">
        <f t="shared" si="23"/>
        <v>0</v>
      </c>
      <c r="L71" s="84">
        <f t="shared" si="23"/>
        <v>0</v>
      </c>
      <c r="M71" s="91">
        <f t="shared" si="24"/>
        <v>17.600000000000001</v>
      </c>
      <c r="N71" s="84">
        <f>IF(ISNUMBER(INDEX('Data input'!I:I, MATCH(A71, 'Data input'!C:C, -1))),INDEX('Data input'!I:I, MATCH(A71, 'Data input'!C:C, -1)),1-SIN(RADIANS(F71)))</f>
        <v>0.69763010924955549</v>
      </c>
      <c r="O71" s="84">
        <f t="shared" si="25"/>
        <v>0.22130130628159894</v>
      </c>
      <c r="P71" s="84" cm="1">
        <f t="array" ref="P71">(IFERROR(
    IF(
        OR(
            INDEX('Data input'!$D:$D, MATCH((A71+B71)/2, 'Data input'!$C$39:$C$117, -1)+36)&lt;&gt;"CLAY",
            INDEX('Data input'!$E:$E, MATCH((A71+B71)/2, 'Data input'!$C$39:$C$117, -1)+36)=0
        ),
        0,
        INDEX('Data input'!$E:$E, MATCH((A71+B71)/2, 'Data input'!$C$39:$C$117, -1)+36)
        +
        (
            (INDEX('Data input'!$F:$F, MATCH((A71+B71)/2, 'Data input'!$C$39:$C$117, -1)+36)
            -
            INDEX('Data input'!$E:$E, MATCH((A71+B71)/2, 'Data input'!$C$39:$C$117, -1)+36))
            /
            (INDEX('Data input'!$C:$C, MATCH((A71+B71)/2, 'Data input'!$C$39:$C$117, -1)+36)
            -
            IF(
                MATCH((A71+B71)/2, 'Data input'!$C$39:$C$117, -1)+36=41,
                -1000,
                INDEX('Data input'!$C:$C, MATCH((A71+B71)/2, 'Data input'!$C$39:$C$117, -1)+37)
            ))
        )
        *
        (INDEX('Data input'!$C:$C, MATCH((A71+B71)/2, 'Data input'!$C$39:$C$117, -1)+36) - (A71+B71)/2)
    ),
    ""
))/gammacu</f>
        <v>0</v>
      </c>
      <c r="Q71" s="84" cm="1">
        <f t="array" ref="Q71">(IFERROR(
    IF(
        OR(
            INDEX('Data input'!$D:$D, MATCH(B71+0.00001, 'Data input'!$C$39:$C$117, -1)+36)&lt;&gt;"CLAY",
            INDEX('Data input'!$E:$E, MATCH(B71+0.00001, 'Data input'!$C$39:$C$117, -1)+36)=0
        ),
        0,
        INDEX('Data input'!$E:$E, MATCH(B71+0.00001, 'Data input'!$C$39:$C$117, -1)+36)
        +
        (
            (INDEX('Data input'!$F:$F, MATCH(B71+0.00001, 'Data input'!$C$39:$C$117, -1)+36)
            -
            INDEX('Data input'!$E:$E, MATCH(B71+0.00001, 'Data input'!$C$39:$C$117, -1)+36))
            /
            (INDEX('Data input'!$C:$C, MATCH(B71+0.00001, 'Data input'!$C$39:$C$117, -1)+36)
            -
            IF(
                MATCH(B71+0.00001, 'Data input'!$C$39:$C$117, -1)+36=41,
                -1000,
                INDEX('Data input'!$C:$C, MATCH(B71+0.00001, 'Data input'!$C$39:$C$117, -1)+37)
            ))
        )
        *
        (INDEX('Data input'!$C:$C, MATCH(B71+0.00001, 'Data input'!$C$39:$C$117, -1)+36) - B71)
    ),
    ""
))/gammacu</f>
        <v>0</v>
      </c>
      <c r="R71" s="84">
        <f t="shared" si="5"/>
        <v>1</v>
      </c>
      <c r="S71" s="84">
        <f t="shared" si="6"/>
        <v>9</v>
      </c>
      <c r="T71" s="84">
        <f t="shared" si="7"/>
        <v>3.9666769982864638</v>
      </c>
      <c r="U71" s="84">
        <f t="shared" si="8"/>
        <v>0</v>
      </c>
      <c r="V71" s="84">
        <f t="shared" si="9"/>
        <v>0</v>
      </c>
      <c r="W71" s="84">
        <f t="shared" si="10"/>
        <v>0</v>
      </c>
      <c r="X71" s="84">
        <f t="shared" si="11"/>
        <v>0</v>
      </c>
      <c r="Y71" s="84">
        <f t="shared" si="12"/>
        <v>0</v>
      </c>
      <c r="Z71" s="84">
        <f t="shared" si="13"/>
        <v>0</v>
      </c>
      <c r="AA71" s="84">
        <f t="shared" si="14"/>
        <v>0</v>
      </c>
      <c r="AB71" s="84">
        <f t="shared" si="15"/>
        <v>0</v>
      </c>
      <c r="AC71" s="84">
        <f t="shared" si="16"/>
        <v>0</v>
      </c>
      <c r="AD71" s="84">
        <f t="shared" si="17"/>
        <v>0</v>
      </c>
      <c r="AE71" s="84">
        <f t="shared" si="18"/>
        <v>0</v>
      </c>
      <c r="AF71" s="84">
        <f t="shared" si="19"/>
        <v>0</v>
      </c>
      <c r="AG71" s="84">
        <f t="shared" si="20"/>
        <v>0</v>
      </c>
      <c r="AH71" s="84">
        <f t="shared" si="21"/>
        <v>0</v>
      </c>
    </row>
    <row r="72" spans="1:34" ht="14.1" customHeight="1" x14ac:dyDescent="0.2">
      <c r="A72" s="84">
        <f t="shared" si="26"/>
        <v>5</v>
      </c>
      <c r="B72" s="84">
        <f t="shared" si="22"/>
        <v>4</v>
      </c>
      <c r="C72" s="84">
        <f t="shared" si="0"/>
        <v>162.86016316209486</v>
      </c>
      <c r="D72" s="41" t="str">
        <f>INDEX('Data input'!D:D, MATCH(A72, 'Data input'!C:C, -1))</f>
        <v>CLAY</v>
      </c>
      <c r="E72" s="84">
        <f>INDEX('Data input'!H:H, MATCH(A72, 'Data input'!C:C, -1))/gammagamma</f>
        <v>18</v>
      </c>
      <c r="F72" s="91">
        <f>INDEX('Data input'!G:G, MATCH(A72, 'Data input'!C:C, -1))/gammaPhi</f>
        <v>17.600000000000001</v>
      </c>
      <c r="G72" s="84">
        <f t="shared" si="1"/>
        <v>4.9050000000000002</v>
      </c>
      <c r="H72" s="84">
        <f t="shared" si="2"/>
        <v>9.81</v>
      </c>
      <c r="I72" s="84">
        <f t="shared" si="3"/>
        <v>4.9050000000000002</v>
      </c>
      <c r="J72" s="84">
        <f t="shared" si="4"/>
        <v>9.81</v>
      </c>
      <c r="K72" s="84">
        <f t="shared" si="23"/>
        <v>0</v>
      </c>
      <c r="L72" s="84">
        <f t="shared" si="23"/>
        <v>0</v>
      </c>
      <c r="M72" s="91">
        <f t="shared" si="24"/>
        <v>17.600000000000001</v>
      </c>
      <c r="N72" s="84">
        <f>IF(ISNUMBER(INDEX('Data input'!I:I, MATCH(A72, 'Data input'!C:C, -1))),INDEX('Data input'!I:I, MATCH(A72, 'Data input'!C:C, -1)),1-SIN(RADIANS(F72)))</f>
        <v>0.69763010924955549</v>
      </c>
      <c r="O72" s="84">
        <f t="shared" si="25"/>
        <v>0.22130130628159894</v>
      </c>
      <c r="P72" s="84" cm="1">
        <f t="array" ref="P72">(IFERROR(
    IF(
        OR(
            INDEX('Data input'!$D:$D, MATCH((A72+B72)/2, 'Data input'!$C$39:$C$117, -1)+36)&lt;&gt;"CLAY",
            INDEX('Data input'!$E:$E, MATCH((A72+B72)/2, 'Data input'!$C$39:$C$117, -1)+36)=0
        ),
        0,
        INDEX('Data input'!$E:$E, MATCH((A72+B72)/2, 'Data input'!$C$39:$C$117, -1)+36)
        +
        (
            (INDEX('Data input'!$F:$F, MATCH((A72+B72)/2, 'Data input'!$C$39:$C$117, -1)+36)
            -
            INDEX('Data input'!$E:$E, MATCH((A72+B72)/2, 'Data input'!$C$39:$C$117, -1)+36))
            /
            (INDEX('Data input'!$C:$C, MATCH((A72+B72)/2, 'Data input'!$C$39:$C$117, -1)+36)
            -
            IF(
                MATCH((A72+B72)/2, 'Data input'!$C$39:$C$117, -1)+36=41,
                -1000,
                INDEX('Data input'!$C:$C, MATCH((A72+B72)/2, 'Data input'!$C$39:$C$117, -1)+37)
            ))
        )
        *
        (INDEX('Data input'!$C:$C, MATCH((A72+B72)/2, 'Data input'!$C$39:$C$117, -1)+36) - (A72+B72)/2)
    ),
    ""
))/gammacu</f>
        <v>0</v>
      </c>
      <c r="Q72" s="84" cm="1">
        <f t="array" ref="Q72">(IFERROR(
    IF(
        OR(
            INDEX('Data input'!$D:$D, MATCH(B72+0.00001, 'Data input'!$C$39:$C$117, -1)+36)&lt;&gt;"CLAY",
            INDEX('Data input'!$E:$E, MATCH(B72+0.00001, 'Data input'!$C$39:$C$117, -1)+36)=0
        ),
        0,
        INDEX('Data input'!$E:$E, MATCH(B72+0.00001, 'Data input'!$C$39:$C$117, -1)+36)
        +
        (
            (INDEX('Data input'!$F:$F, MATCH(B72+0.00001, 'Data input'!$C$39:$C$117, -1)+36)
            -
            INDEX('Data input'!$E:$E, MATCH(B72+0.00001, 'Data input'!$C$39:$C$117, -1)+36))
            /
            (INDEX('Data input'!$C:$C, MATCH(B72+0.00001, 'Data input'!$C$39:$C$117, -1)+36)
            -
            IF(
                MATCH(B72+0.00001, 'Data input'!$C$39:$C$117, -1)+36=41,
                -1000,
                INDEX('Data input'!$C:$C, MATCH(B72+0.00001, 'Data input'!$C$39:$C$117, -1)+37)
            ))
        )
        *
        (INDEX('Data input'!$C:$C, MATCH(B72+0.00001, 'Data input'!$C$39:$C$117, -1)+36) - B72)
    ),
    ""
))/gammacu</f>
        <v>0</v>
      </c>
      <c r="R72" s="84">
        <f t="shared" si="5"/>
        <v>1</v>
      </c>
      <c r="S72" s="84">
        <f t="shared" si="6"/>
        <v>9</v>
      </c>
      <c r="T72" s="84">
        <f t="shared" si="7"/>
        <v>3.9666769982864638</v>
      </c>
      <c r="U72" s="84">
        <f t="shared" si="8"/>
        <v>0</v>
      </c>
      <c r="V72" s="84">
        <f t="shared" si="9"/>
        <v>0</v>
      </c>
      <c r="W72" s="84">
        <f t="shared" si="10"/>
        <v>0</v>
      </c>
      <c r="X72" s="84">
        <f t="shared" si="11"/>
        <v>0</v>
      </c>
      <c r="Y72" s="84">
        <f t="shared" si="12"/>
        <v>0</v>
      </c>
      <c r="Z72" s="84">
        <f t="shared" si="13"/>
        <v>0</v>
      </c>
      <c r="AA72" s="84">
        <f t="shared" si="14"/>
        <v>0</v>
      </c>
      <c r="AB72" s="84">
        <f t="shared" si="15"/>
        <v>0</v>
      </c>
      <c r="AC72" s="84">
        <f t="shared" si="16"/>
        <v>0</v>
      </c>
      <c r="AD72" s="84">
        <f t="shared" si="17"/>
        <v>0</v>
      </c>
      <c r="AE72" s="84">
        <f t="shared" si="18"/>
        <v>0</v>
      </c>
      <c r="AF72" s="84">
        <f t="shared" si="19"/>
        <v>0</v>
      </c>
      <c r="AG72" s="84">
        <f t="shared" si="20"/>
        <v>0</v>
      </c>
      <c r="AH72" s="84">
        <f t="shared" si="21"/>
        <v>0</v>
      </c>
    </row>
    <row r="73" spans="1:34" ht="14.1" customHeight="1" x14ac:dyDescent="0.2">
      <c r="A73" s="84">
        <f t="shared" si="26"/>
        <v>4</v>
      </c>
      <c r="B73" s="84">
        <f t="shared" si="22"/>
        <v>3</v>
      </c>
      <c r="C73" s="84">
        <f t="shared" si="0"/>
        <v>190.00352368911066</v>
      </c>
      <c r="D73" s="41" t="str">
        <f>INDEX('Data input'!D:D, MATCH(A73, 'Data input'!C:C, -1))</f>
        <v>CLAY</v>
      </c>
      <c r="E73" s="84">
        <f>INDEX('Data input'!H:H, MATCH(A73, 'Data input'!C:C, -1))/gammagamma</f>
        <v>18</v>
      </c>
      <c r="F73" s="91">
        <f>INDEX('Data input'!G:G, MATCH(A73, 'Data input'!C:C, -1))/gammaPhi</f>
        <v>17.600000000000001</v>
      </c>
      <c r="G73" s="84">
        <f t="shared" si="1"/>
        <v>14.715</v>
      </c>
      <c r="H73" s="84">
        <f t="shared" si="2"/>
        <v>19.62</v>
      </c>
      <c r="I73" s="84">
        <f t="shared" si="3"/>
        <v>14.715</v>
      </c>
      <c r="J73" s="84">
        <f t="shared" si="4"/>
        <v>19.62</v>
      </c>
      <c r="K73" s="84">
        <f t="shared" si="23"/>
        <v>0</v>
      </c>
      <c r="L73" s="84">
        <f t="shared" si="23"/>
        <v>0</v>
      </c>
      <c r="M73" s="91">
        <f t="shared" si="24"/>
        <v>17.600000000000001</v>
      </c>
      <c r="N73" s="84">
        <f>IF(ISNUMBER(INDEX('Data input'!I:I, MATCH(A73, 'Data input'!C:C, -1))),INDEX('Data input'!I:I, MATCH(A73, 'Data input'!C:C, -1)),1-SIN(RADIANS(F73)))</f>
        <v>0.69763010924955549</v>
      </c>
      <c r="O73" s="84">
        <f t="shared" si="25"/>
        <v>0.22130130628159894</v>
      </c>
      <c r="P73" s="84" cm="1">
        <f t="array" ref="P73">(IFERROR(
    IF(
        OR(
            INDEX('Data input'!$D:$D, MATCH((A73+B73)/2, 'Data input'!$C$39:$C$117, -1)+36)&lt;&gt;"CLAY",
            INDEX('Data input'!$E:$E, MATCH((A73+B73)/2, 'Data input'!$C$39:$C$117, -1)+36)=0
        ),
        0,
        INDEX('Data input'!$E:$E, MATCH((A73+B73)/2, 'Data input'!$C$39:$C$117, -1)+36)
        +
        (
            (INDEX('Data input'!$F:$F, MATCH((A73+B73)/2, 'Data input'!$C$39:$C$117, -1)+36)
            -
            INDEX('Data input'!$E:$E, MATCH((A73+B73)/2, 'Data input'!$C$39:$C$117, -1)+36))
            /
            (INDEX('Data input'!$C:$C, MATCH((A73+B73)/2, 'Data input'!$C$39:$C$117, -1)+36)
            -
            IF(
                MATCH((A73+B73)/2, 'Data input'!$C$39:$C$117, -1)+36=41,
                -1000,
                INDEX('Data input'!$C:$C, MATCH((A73+B73)/2, 'Data input'!$C$39:$C$117, -1)+37)
            ))
        )
        *
        (INDEX('Data input'!$C:$C, MATCH((A73+B73)/2, 'Data input'!$C$39:$C$117, -1)+36) - (A73+B73)/2)
    ),
    ""
))/gammacu</f>
        <v>0</v>
      </c>
      <c r="Q73" s="84" cm="1">
        <f t="array" ref="Q73">(IFERROR(
    IF(
        OR(
            INDEX('Data input'!$D:$D, MATCH(B73+0.00001, 'Data input'!$C$39:$C$117, -1)+36)&lt;&gt;"CLAY",
            INDEX('Data input'!$E:$E, MATCH(B73+0.00001, 'Data input'!$C$39:$C$117, -1)+36)=0
        ),
        0,
        INDEX('Data input'!$E:$E, MATCH(B73+0.00001, 'Data input'!$C$39:$C$117, -1)+36)
        +
        (
            (INDEX('Data input'!$F:$F, MATCH(B73+0.00001, 'Data input'!$C$39:$C$117, -1)+36)
            -
            INDEX('Data input'!$E:$E, MATCH(B73+0.00001, 'Data input'!$C$39:$C$117, -1)+36))
            /
            (INDEX('Data input'!$C:$C, MATCH(B73+0.00001, 'Data input'!$C$39:$C$117, -1)+36)
            -
            IF(
                MATCH(B73+0.00001, 'Data input'!$C$39:$C$117, -1)+36=41,
                -1000,
                INDEX('Data input'!$C:$C, MATCH(B73+0.00001, 'Data input'!$C$39:$C$117, -1)+37)
            ))
        )
        *
        (INDEX('Data input'!$C:$C, MATCH(B73+0.00001, 'Data input'!$C$39:$C$117, -1)+36) - B73)
    ),
    ""
))/gammacu</f>
        <v>0</v>
      </c>
      <c r="R73" s="84">
        <f t="shared" si="5"/>
        <v>1</v>
      </c>
      <c r="S73" s="84">
        <f t="shared" si="6"/>
        <v>9</v>
      </c>
      <c r="T73" s="84">
        <f t="shared" si="7"/>
        <v>3.9666769982864638</v>
      </c>
      <c r="U73" s="84">
        <f t="shared" si="8"/>
        <v>0</v>
      </c>
      <c r="V73" s="84">
        <f t="shared" si="9"/>
        <v>0</v>
      </c>
      <c r="W73" s="84">
        <f t="shared" si="10"/>
        <v>0</v>
      </c>
      <c r="X73" s="84">
        <f t="shared" si="11"/>
        <v>0</v>
      </c>
      <c r="Y73" s="84">
        <f t="shared" si="12"/>
        <v>0</v>
      </c>
      <c r="Z73" s="84">
        <f t="shared" si="13"/>
        <v>0</v>
      </c>
      <c r="AA73" s="84">
        <f t="shared" si="14"/>
        <v>0</v>
      </c>
      <c r="AB73" s="84">
        <f t="shared" si="15"/>
        <v>0</v>
      </c>
      <c r="AC73" s="84">
        <f t="shared" si="16"/>
        <v>0</v>
      </c>
      <c r="AD73" s="84">
        <f t="shared" si="17"/>
        <v>0</v>
      </c>
      <c r="AE73" s="84">
        <f t="shared" si="18"/>
        <v>0</v>
      </c>
      <c r="AF73" s="84">
        <f t="shared" si="19"/>
        <v>0</v>
      </c>
      <c r="AG73" s="84">
        <f t="shared" si="20"/>
        <v>0</v>
      </c>
      <c r="AH73" s="84">
        <f t="shared" si="21"/>
        <v>0</v>
      </c>
    </row>
    <row r="74" spans="1:34" ht="14.1" customHeight="1" x14ac:dyDescent="0.2">
      <c r="A74" s="84">
        <f t="shared" si="26"/>
        <v>3</v>
      </c>
      <c r="B74" s="84">
        <f t="shared" si="22"/>
        <v>2</v>
      </c>
      <c r="C74" s="84">
        <f t="shared" si="0"/>
        <v>217.14688421612647</v>
      </c>
      <c r="D74" s="41" t="str">
        <f>INDEX('Data input'!D:D, MATCH(A74, 'Data input'!C:C, -1))</f>
        <v>CLAY</v>
      </c>
      <c r="E74" s="84">
        <f>INDEX('Data input'!H:H, MATCH(A74, 'Data input'!C:C, -1))/gammagamma</f>
        <v>18</v>
      </c>
      <c r="F74" s="91">
        <f>INDEX('Data input'!G:G, MATCH(A74, 'Data input'!C:C, -1))/gammaPhi</f>
        <v>17.600000000000001</v>
      </c>
      <c r="G74" s="84">
        <f t="shared" si="1"/>
        <v>24.525000000000002</v>
      </c>
      <c r="H74" s="84">
        <f t="shared" si="2"/>
        <v>29.43</v>
      </c>
      <c r="I74" s="84">
        <f t="shared" si="3"/>
        <v>28.62</v>
      </c>
      <c r="J74" s="84">
        <f t="shared" si="4"/>
        <v>37.620000000000005</v>
      </c>
      <c r="K74" s="84">
        <f t="shared" si="23"/>
        <v>4.0949999999999989</v>
      </c>
      <c r="L74" s="84">
        <f t="shared" si="23"/>
        <v>8.1900000000000048</v>
      </c>
      <c r="M74" s="91">
        <f t="shared" si="24"/>
        <v>17.600000000000001</v>
      </c>
      <c r="N74" s="84">
        <f>IF(ISNUMBER(INDEX('Data input'!I:I, MATCH(A74, 'Data input'!C:C, -1))),INDEX('Data input'!I:I, MATCH(A74, 'Data input'!C:C, -1)),1-SIN(RADIANS(F74)))</f>
        <v>0.69763010924955549</v>
      </c>
      <c r="O74" s="84">
        <f t="shared" si="25"/>
        <v>0.22130130628159894</v>
      </c>
      <c r="P74" s="84" cm="1">
        <f t="array" ref="P74">(IFERROR(
    IF(
        OR(
            INDEX('Data input'!$D:$D, MATCH((A74+B74)/2, 'Data input'!$C$39:$C$117, -1)+36)&lt;&gt;"CLAY",
            INDEX('Data input'!$E:$E, MATCH((A74+B74)/2, 'Data input'!$C$39:$C$117, -1)+36)=0
        ),
        0,
        INDEX('Data input'!$E:$E, MATCH((A74+B74)/2, 'Data input'!$C$39:$C$117, -1)+36)
        +
        (
            (INDEX('Data input'!$F:$F, MATCH((A74+B74)/2, 'Data input'!$C$39:$C$117, -1)+36)
            -
            INDEX('Data input'!$E:$E, MATCH((A74+B74)/2, 'Data input'!$C$39:$C$117, -1)+36))
            /
            (INDEX('Data input'!$C:$C, MATCH((A74+B74)/2, 'Data input'!$C$39:$C$117, -1)+36)
            -
            IF(
                MATCH((A74+B74)/2, 'Data input'!$C$39:$C$117, -1)+36=41,
                -1000,
                INDEX('Data input'!$C:$C, MATCH((A74+B74)/2, 'Data input'!$C$39:$C$117, -1)+37)
            ))
        )
        *
        (INDEX('Data input'!$C:$C, MATCH((A74+B74)/2, 'Data input'!$C$39:$C$117, -1)+36) - (A74+B74)/2)
    ),
    ""
))/gammacu</f>
        <v>0</v>
      </c>
      <c r="Q74" s="84" cm="1">
        <f t="array" ref="Q74">(IFERROR(
    IF(
        OR(
            INDEX('Data input'!$D:$D, MATCH(B74+0.00001, 'Data input'!$C$39:$C$117, -1)+36)&lt;&gt;"CLAY",
            INDEX('Data input'!$E:$E, MATCH(B74+0.00001, 'Data input'!$C$39:$C$117, -1)+36)=0
        ),
        0,
        INDEX('Data input'!$E:$E, MATCH(B74+0.00001, 'Data input'!$C$39:$C$117, -1)+36)
        +
        (
            (INDEX('Data input'!$F:$F, MATCH(B74+0.00001, 'Data input'!$C$39:$C$117, -1)+36)
            -
            INDEX('Data input'!$E:$E, MATCH(B74+0.00001, 'Data input'!$C$39:$C$117, -1)+36))
            /
            (INDEX('Data input'!$C:$C, MATCH(B74+0.00001, 'Data input'!$C$39:$C$117, -1)+36)
            -
            IF(
                MATCH(B74+0.00001, 'Data input'!$C$39:$C$117, -1)+36=41,
                -1000,
                INDEX('Data input'!$C:$C, MATCH(B74+0.00001, 'Data input'!$C$39:$C$117, -1)+37)
            ))
        )
        *
        (INDEX('Data input'!$C:$C, MATCH(B74+0.00001, 'Data input'!$C$39:$C$117, -1)+36) - B74)
    ),
    ""
))/gammacu</f>
        <v>0</v>
      </c>
      <c r="R74" s="84">
        <f t="shared" si="5"/>
        <v>1</v>
      </c>
      <c r="S74" s="84">
        <f t="shared" si="6"/>
        <v>9</v>
      </c>
      <c r="T74" s="84">
        <f t="shared" si="7"/>
        <v>3.9666769982864638</v>
      </c>
      <c r="U74" s="84">
        <f t="shared" si="8"/>
        <v>0</v>
      </c>
      <c r="V74" s="84">
        <f t="shared" si="9"/>
        <v>0</v>
      </c>
      <c r="W74" s="84">
        <f t="shared" si="10"/>
        <v>0</v>
      </c>
      <c r="X74" s="84">
        <f t="shared" si="11"/>
        <v>0</v>
      </c>
      <c r="Y74" s="84">
        <f t="shared" si="12"/>
        <v>0</v>
      </c>
      <c r="Z74" s="84">
        <f t="shared" si="13"/>
        <v>0</v>
      </c>
      <c r="AA74" s="84">
        <f t="shared" si="14"/>
        <v>27.143360527015812</v>
      </c>
      <c r="AB74" s="84">
        <f t="shared" si="15"/>
        <v>0.90622884922314739</v>
      </c>
      <c r="AC74" s="84">
        <f t="shared" si="16"/>
        <v>0.60717332897950882</v>
      </c>
      <c r="AD74" s="84">
        <f t="shared" si="17"/>
        <v>32.487084615966161</v>
      </c>
      <c r="AE74" s="84">
        <f t="shared" si="18"/>
        <v>3.4164022742286866</v>
      </c>
      <c r="AF74" s="84">
        <f t="shared" si="19"/>
        <v>36.742027091784941</v>
      </c>
      <c r="AG74" s="84">
        <f t="shared" si="20"/>
        <v>0</v>
      </c>
      <c r="AH74" s="84">
        <f t="shared" si="21"/>
        <v>29.432350050749033</v>
      </c>
    </row>
    <row r="75" spans="1:34" ht="14.1" customHeight="1" x14ac:dyDescent="0.2">
      <c r="A75" s="84">
        <f t="shared" si="26"/>
        <v>2</v>
      </c>
      <c r="B75" s="84">
        <f t="shared" si="22"/>
        <v>1</v>
      </c>
      <c r="C75" s="84">
        <f t="shared" si="0"/>
        <v>244.29024474314227</v>
      </c>
      <c r="D75" s="41" t="str">
        <f>INDEX('Data input'!D:D, MATCH(A75, 'Data input'!C:C, -1))</f>
        <v>CLAY</v>
      </c>
      <c r="E75" s="84">
        <f>INDEX('Data input'!H:H, MATCH(A75, 'Data input'!C:C, -1))/gammagamma</f>
        <v>18</v>
      </c>
      <c r="F75" s="91">
        <f>INDEX('Data input'!G:G, MATCH(A75, 'Data input'!C:C, -1))/gammaPhi</f>
        <v>17.600000000000001</v>
      </c>
      <c r="G75" s="84">
        <f t="shared" si="1"/>
        <v>34.335000000000001</v>
      </c>
      <c r="H75" s="84">
        <f t="shared" si="2"/>
        <v>39.24</v>
      </c>
      <c r="I75" s="84">
        <f t="shared" si="3"/>
        <v>46.620000000000005</v>
      </c>
      <c r="J75" s="84">
        <f t="shared" si="4"/>
        <v>55.620000000000005</v>
      </c>
      <c r="K75" s="84">
        <f t="shared" si="23"/>
        <v>12.285000000000004</v>
      </c>
      <c r="L75" s="84">
        <f t="shared" si="23"/>
        <v>16.380000000000003</v>
      </c>
      <c r="M75" s="91">
        <f t="shared" si="24"/>
        <v>17.600000000000001</v>
      </c>
      <c r="N75" s="84">
        <f>IF(ISNUMBER(INDEX('Data input'!I:I, MATCH(A75, 'Data input'!C:C, -1))),INDEX('Data input'!I:I, MATCH(A75, 'Data input'!C:C, -1)),1-SIN(RADIANS(F75)))</f>
        <v>0.69763010924955549</v>
      </c>
      <c r="O75" s="84">
        <f t="shared" si="25"/>
        <v>0.22130130628159894</v>
      </c>
      <c r="P75" s="84" cm="1">
        <f t="array" ref="P75">(IFERROR(
    IF(
        OR(
            INDEX('Data input'!$D:$D, MATCH((A75+B75)/2, 'Data input'!$C$39:$C$117, -1)+36)&lt;&gt;"CLAY",
            INDEX('Data input'!$E:$E, MATCH((A75+B75)/2, 'Data input'!$C$39:$C$117, -1)+36)=0
        ),
        0,
        INDEX('Data input'!$E:$E, MATCH((A75+B75)/2, 'Data input'!$C$39:$C$117, -1)+36)
        +
        (
            (INDEX('Data input'!$F:$F, MATCH((A75+B75)/2, 'Data input'!$C$39:$C$117, -1)+36)
            -
            INDEX('Data input'!$E:$E, MATCH((A75+B75)/2, 'Data input'!$C$39:$C$117, -1)+36))
            /
            (INDEX('Data input'!$C:$C, MATCH((A75+B75)/2, 'Data input'!$C$39:$C$117, -1)+36)
            -
            IF(
                MATCH((A75+B75)/2, 'Data input'!$C$39:$C$117, -1)+36=41,
                -1000,
                INDEX('Data input'!$C:$C, MATCH((A75+B75)/2, 'Data input'!$C$39:$C$117, -1)+37)
            ))
        )
        *
        (INDEX('Data input'!$C:$C, MATCH((A75+B75)/2, 'Data input'!$C$39:$C$117, -1)+36) - (A75+B75)/2)
    ),
    ""
))/gammacu</f>
        <v>0</v>
      </c>
      <c r="Q75" s="84" cm="1">
        <f t="array" ref="Q75">(IFERROR(
    IF(
        OR(
            INDEX('Data input'!$D:$D, MATCH(B75+0.00001, 'Data input'!$C$39:$C$117, -1)+36)&lt;&gt;"CLAY",
            INDEX('Data input'!$E:$E, MATCH(B75+0.00001, 'Data input'!$C$39:$C$117, -1)+36)=0
        ),
        0,
        INDEX('Data input'!$E:$E, MATCH(B75+0.00001, 'Data input'!$C$39:$C$117, -1)+36)
        +
        (
            (INDEX('Data input'!$F:$F, MATCH(B75+0.00001, 'Data input'!$C$39:$C$117, -1)+36)
            -
            INDEX('Data input'!$E:$E, MATCH(B75+0.00001, 'Data input'!$C$39:$C$117, -1)+36))
            /
            (INDEX('Data input'!$C:$C, MATCH(B75+0.00001, 'Data input'!$C$39:$C$117, -1)+36)
            -
            IF(
                MATCH(B75+0.00001, 'Data input'!$C$39:$C$117, -1)+36=41,
                -1000,
                INDEX('Data input'!$C:$C, MATCH(B75+0.00001, 'Data input'!$C$39:$C$117, -1)+37)
            ))
        )
        *
        (INDEX('Data input'!$C:$C, MATCH(B75+0.00001, 'Data input'!$C$39:$C$117, -1)+36) - B75)
    ),
    ""
))/gammacu</f>
        <v>0</v>
      </c>
      <c r="R75" s="84">
        <f t="shared" si="5"/>
        <v>1</v>
      </c>
      <c r="S75" s="84">
        <f t="shared" si="6"/>
        <v>9</v>
      </c>
      <c r="T75" s="84">
        <f t="shared" si="7"/>
        <v>3.9666769982864638</v>
      </c>
      <c r="U75" s="84">
        <f t="shared" si="8"/>
        <v>0</v>
      </c>
      <c r="V75" s="84">
        <f t="shared" si="9"/>
        <v>0</v>
      </c>
      <c r="W75" s="84">
        <f t="shared" si="10"/>
        <v>0</v>
      </c>
      <c r="X75" s="84">
        <f t="shared" si="11"/>
        <v>0</v>
      </c>
      <c r="Y75" s="84">
        <f t="shared" si="12"/>
        <v>0</v>
      </c>
      <c r="Z75" s="84">
        <f t="shared" si="13"/>
        <v>0</v>
      </c>
      <c r="AA75" s="84">
        <f t="shared" si="14"/>
        <v>54.286721054031624</v>
      </c>
      <c r="AB75" s="84">
        <f t="shared" si="15"/>
        <v>2.718686547669444</v>
      </c>
      <c r="AC75" s="84">
        <f t="shared" si="16"/>
        <v>1.8215199869385275</v>
      </c>
      <c r="AD75" s="84">
        <f t="shared" si="17"/>
        <v>64.974169231932294</v>
      </c>
      <c r="AE75" s="84">
        <f t="shared" si="18"/>
        <v>13.665609096914753</v>
      </c>
      <c r="AF75" s="84">
        <f t="shared" si="19"/>
        <v>73.484054183569853</v>
      </c>
      <c r="AG75" s="84">
        <f t="shared" si="20"/>
        <v>0</v>
      </c>
      <c r="AH75" s="84">
        <f t="shared" si="21"/>
        <v>63.442679148964515</v>
      </c>
    </row>
    <row r="76" spans="1:34" ht="14.1" customHeight="1" x14ac:dyDescent="0.2">
      <c r="A76" s="84">
        <f t="shared" si="26"/>
        <v>1</v>
      </c>
      <c r="B76" s="84">
        <f t="shared" si="22"/>
        <v>0</v>
      </c>
      <c r="C76" s="84">
        <f t="shared" si="0"/>
        <v>271.43360527015807</v>
      </c>
      <c r="D76" s="41" t="str">
        <f>INDEX('Data input'!D:D, MATCH(A76, 'Data input'!C:C, -1))</f>
        <v>CLAY</v>
      </c>
      <c r="E76" s="84">
        <f>INDEX('Data input'!H:H, MATCH(A76, 'Data input'!C:C, -1))/gammagamma</f>
        <v>18</v>
      </c>
      <c r="F76" s="91">
        <f>INDEX('Data input'!G:G, MATCH(A76, 'Data input'!C:C, -1))/gammaPhi</f>
        <v>17.600000000000001</v>
      </c>
      <c r="G76" s="84">
        <f t="shared" si="1"/>
        <v>44.145000000000003</v>
      </c>
      <c r="H76" s="84">
        <f t="shared" si="2"/>
        <v>49.050000000000004</v>
      </c>
      <c r="I76" s="84">
        <f t="shared" si="3"/>
        <v>64.62</v>
      </c>
      <c r="J76" s="84">
        <f t="shared" si="4"/>
        <v>73.62</v>
      </c>
      <c r="K76" s="84">
        <f t="shared" si="23"/>
        <v>20.475000000000001</v>
      </c>
      <c r="L76" s="84">
        <f t="shared" si="23"/>
        <v>24.57</v>
      </c>
      <c r="M76" s="91">
        <f t="shared" si="24"/>
        <v>17.600000000000001</v>
      </c>
      <c r="N76" s="84">
        <f>IF(ISNUMBER(INDEX('Data input'!I:I, MATCH(A76, 'Data input'!C:C, -1))),INDEX('Data input'!I:I, MATCH(A76, 'Data input'!C:C, -1)),1-SIN(RADIANS(F76)))</f>
        <v>0.69763010924955549</v>
      </c>
      <c r="O76" s="84">
        <f t="shared" si="25"/>
        <v>0.22130130628159894</v>
      </c>
      <c r="P76" s="84" cm="1">
        <f t="array" ref="P76">(IFERROR(
    IF(
        OR(
            INDEX('Data input'!$D:$D, MATCH((A76+B76)/2, 'Data input'!$C$39:$C$117, -1)+36)&lt;&gt;"CLAY",
            INDEX('Data input'!$E:$E, MATCH((A76+B76)/2, 'Data input'!$C$39:$C$117, -1)+36)=0
        ),
        0,
        INDEX('Data input'!$E:$E, MATCH((A76+B76)/2, 'Data input'!$C$39:$C$117, -1)+36)
        +
        (
            (INDEX('Data input'!$F:$F, MATCH((A76+B76)/2, 'Data input'!$C$39:$C$117, -1)+36)
            -
            INDEX('Data input'!$E:$E, MATCH((A76+B76)/2, 'Data input'!$C$39:$C$117, -1)+36))
            /
            (INDEX('Data input'!$C:$C, MATCH((A76+B76)/2, 'Data input'!$C$39:$C$117, -1)+36)
            -
            IF(
                MATCH((A76+B76)/2, 'Data input'!$C$39:$C$117, -1)+36=41,
                -1000,
                INDEX('Data input'!$C:$C, MATCH((A76+B76)/2, 'Data input'!$C$39:$C$117, -1)+37)
            ))
        )
        *
        (INDEX('Data input'!$C:$C, MATCH((A76+B76)/2, 'Data input'!$C$39:$C$117, -1)+36) - (A76+B76)/2)
    ),
    ""
))/gammacu</f>
        <v>0</v>
      </c>
      <c r="Q76" s="84" cm="1">
        <f t="array" ref="Q76">(IFERROR(
    IF(
        OR(
            INDEX('Data input'!$D:$D, MATCH(B76+0.00001, 'Data input'!$C$39:$C$117, -1)+36)&lt;&gt;"CLAY",
            INDEX('Data input'!$E:$E, MATCH(B76+0.00001, 'Data input'!$C$39:$C$117, -1)+36)=0
        ),
        0,
        INDEX('Data input'!$E:$E, MATCH(B76+0.00001, 'Data input'!$C$39:$C$117, -1)+36)
        +
        (
            (INDEX('Data input'!$F:$F, MATCH(B76+0.00001, 'Data input'!$C$39:$C$117, -1)+36)
            -
            INDEX('Data input'!$E:$E, MATCH(B76+0.00001, 'Data input'!$C$39:$C$117, -1)+36))
            /
            (INDEX('Data input'!$C:$C, MATCH(B76+0.00001, 'Data input'!$C$39:$C$117, -1)+36)
            -
            IF(
                MATCH(B76+0.00001, 'Data input'!$C$39:$C$117, -1)+36=41,
                -1000,
                INDEX('Data input'!$C:$C, MATCH(B76+0.00001, 'Data input'!$C$39:$C$117, -1)+37)
            ))
        )
        *
        (INDEX('Data input'!$C:$C, MATCH(B76+0.00001, 'Data input'!$C$39:$C$117, -1)+36) - B76)
    ),
    ""
))/gammacu</f>
        <v>0</v>
      </c>
      <c r="R76" s="84">
        <f t="shared" si="5"/>
        <v>1</v>
      </c>
      <c r="S76" s="84">
        <f t="shared" si="6"/>
        <v>9</v>
      </c>
      <c r="T76" s="84">
        <f t="shared" si="7"/>
        <v>3.9666769982864638</v>
      </c>
      <c r="U76" s="84">
        <f t="shared" si="8"/>
        <v>0</v>
      </c>
      <c r="V76" s="84">
        <f t="shared" si="9"/>
        <v>0</v>
      </c>
      <c r="W76" s="84">
        <f t="shared" si="10"/>
        <v>0</v>
      </c>
      <c r="X76" s="84">
        <f t="shared" si="11"/>
        <v>0</v>
      </c>
      <c r="Y76" s="84">
        <f t="shared" si="12"/>
        <v>0</v>
      </c>
      <c r="Z76" s="84">
        <f t="shared" si="13"/>
        <v>0</v>
      </c>
      <c r="AA76" s="84">
        <f t="shared" si="14"/>
        <v>81.430081581047432</v>
      </c>
      <c r="AB76" s="84">
        <f t="shared" si="15"/>
        <v>4.5311442461157387</v>
      </c>
      <c r="AC76" s="84">
        <f t="shared" si="16"/>
        <v>3.0358666448975451</v>
      </c>
      <c r="AD76" s="84">
        <f t="shared" si="17"/>
        <v>97.461253847898419</v>
      </c>
      <c r="AE76" s="84">
        <f t="shared" si="18"/>
        <v>30.747620468058194</v>
      </c>
      <c r="AF76" s="84">
        <f t="shared" si="19"/>
        <v>110.22608127535474</v>
      </c>
      <c r="AG76" s="84">
        <f t="shared" si="20"/>
        <v>0</v>
      </c>
      <c r="AH76" s="84">
        <f t="shared" si="21"/>
        <v>102.03098729464644</v>
      </c>
    </row>
    <row r="77" spans="1:34" ht="14.1" customHeight="1" x14ac:dyDescent="0.2">
      <c r="A77" s="84">
        <f t="shared" si="26"/>
        <v>0</v>
      </c>
      <c r="B77" s="84">
        <f t="shared" si="22"/>
        <v>-1</v>
      </c>
      <c r="C77" s="84">
        <f t="shared" si="0"/>
        <v>298.5769657971739</v>
      </c>
      <c r="D77" s="41" t="str">
        <f>INDEX('Data input'!D:D, MATCH(A77, 'Data input'!C:C, -1))</f>
        <v>CLAY</v>
      </c>
      <c r="E77" s="84">
        <f>INDEX('Data input'!H:H, MATCH(A77, 'Data input'!C:C, -1))/gammagamma</f>
        <v>18</v>
      </c>
      <c r="F77" s="91">
        <f>INDEX('Data input'!G:G, MATCH(A77, 'Data input'!C:C, -1))/gammaPhi</f>
        <v>17.600000000000001</v>
      </c>
      <c r="G77" s="84">
        <f t="shared" si="1"/>
        <v>53.955000000000005</v>
      </c>
      <c r="H77" s="84">
        <f t="shared" si="2"/>
        <v>58.86</v>
      </c>
      <c r="I77" s="84">
        <f t="shared" si="3"/>
        <v>82.62</v>
      </c>
      <c r="J77" s="84">
        <f t="shared" si="4"/>
        <v>91.62</v>
      </c>
      <c r="K77" s="84">
        <f t="shared" si="23"/>
        <v>28.664999999999999</v>
      </c>
      <c r="L77" s="84">
        <f t="shared" si="23"/>
        <v>32.760000000000005</v>
      </c>
      <c r="M77" s="91">
        <f t="shared" si="24"/>
        <v>17.600000000000001</v>
      </c>
      <c r="N77" s="84">
        <f>IF(ISNUMBER(INDEX('Data input'!I:I, MATCH(A77, 'Data input'!C:C, -1))),INDEX('Data input'!I:I, MATCH(A77, 'Data input'!C:C, -1)),1-SIN(RADIANS(F77)))</f>
        <v>0.69763010924955549</v>
      </c>
      <c r="O77" s="84">
        <f t="shared" si="25"/>
        <v>0.22130130628159894</v>
      </c>
      <c r="P77" s="84" cm="1">
        <f t="array" ref="P77">(IFERROR(
    IF(
        OR(
            INDEX('Data input'!$D:$D, MATCH((A77+B77)/2, 'Data input'!$C$39:$C$117, -1)+36)&lt;&gt;"CLAY",
            INDEX('Data input'!$E:$E, MATCH((A77+B77)/2, 'Data input'!$C$39:$C$117, -1)+36)=0
        ),
        0,
        INDEX('Data input'!$E:$E, MATCH((A77+B77)/2, 'Data input'!$C$39:$C$117, -1)+36)
        +
        (
            (INDEX('Data input'!$F:$F, MATCH((A77+B77)/2, 'Data input'!$C$39:$C$117, -1)+36)
            -
            INDEX('Data input'!$E:$E, MATCH((A77+B77)/2, 'Data input'!$C$39:$C$117, -1)+36))
            /
            (INDEX('Data input'!$C:$C, MATCH((A77+B77)/2, 'Data input'!$C$39:$C$117, -1)+36)
            -
            IF(
                MATCH((A77+B77)/2, 'Data input'!$C$39:$C$117, -1)+36=41,
                -1000,
                INDEX('Data input'!$C:$C, MATCH((A77+B77)/2, 'Data input'!$C$39:$C$117, -1)+37)
            ))
        )
        *
        (INDEX('Data input'!$C:$C, MATCH((A77+B77)/2, 'Data input'!$C$39:$C$117, -1)+36) - (A77+B77)/2)
    ),
    ""
))/gammacu</f>
        <v>0</v>
      </c>
      <c r="Q77" s="84" cm="1">
        <f t="array" ref="Q77">(IFERROR(
    IF(
        OR(
            INDEX('Data input'!$D:$D, MATCH(B77+0.00001, 'Data input'!$C$39:$C$117, -1)+36)&lt;&gt;"CLAY",
            INDEX('Data input'!$E:$E, MATCH(B77+0.00001, 'Data input'!$C$39:$C$117, -1)+36)=0
        ),
        0,
        INDEX('Data input'!$E:$E, MATCH(B77+0.00001, 'Data input'!$C$39:$C$117, -1)+36)
        +
        (
            (INDEX('Data input'!$F:$F, MATCH(B77+0.00001, 'Data input'!$C$39:$C$117, -1)+36)
            -
            INDEX('Data input'!$E:$E, MATCH(B77+0.00001, 'Data input'!$C$39:$C$117, -1)+36))
            /
            (INDEX('Data input'!$C:$C, MATCH(B77+0.00001, 'Data input'!$C$39:$C$117, -1)+36)
            -
            IF(
                MATCH(B77+0.00001, 'Data input'!$C$39:$C$117, -1)+36=41,
                -1000,
                INDEX('Data input'!$C:$C, MATCH(B77+0.00001, 'Data input'!$C$39:$C$117, -1)+37)
            ))
        )
        *
        (INDEX('Data input'!$C:$C, MATCH(B77+0.00001, 'Data input'!$C$39:$C$117, -1)+36) - B77)
    ),
    ""
))/gammacu</f>
        <v>0</v>
      </c>
      <c r="R77" s="84">
        <f t="shared" si="5"/>
        <v>1</v>
      </c>
      <c r="S77" s="84">
        <f t="shared" si="6"/>
        <v>9</v>
      </c>
      <c r="T77" s="84">
        <f t="shared" si="7"/>
        <v>3.9666769982864638</v>
      </c>
      <c r="U77" s="84">
        <f t="shared" si="8"/>
        <v>0</v>
      </c>
      <c r="V77" s="84">
        <f t="shared" si="9"/>
        <v>0</v>
      </c>
      <c r="W77" s="84">
        <f t="shared" si="10"/>
        <v>0</v>
      </c>
      <c r="X77" s="84">
        <f t="shared" si="11"/>
        <v>0</v>
      </c>
      <c r="Y77" s="84">
        <f t="shared" si="12"/>
        <v>0</v>
      </c>
      <c r="Z77" s="84">
        <f t="shared" si="13"/>
        <v>0</v>
      </c>
      <c r="AA77" s="84">
        <f t="shared" si="14"/>
        <v>108.57344210806325</v>
      </c>
      <c r="AB77" s="84">
        <f t="shared" si="15"/>
        <v>6.3436019445620335</v>
      </c>
      <c r="AC77" s="84">
        <f t="shared" si="16"/>
        <v>4.2502133028565625</v>
      </c>
      <c r="AD77" s="84">
        <f t="shared" si="17"/>
        <v>129.94833846386459</v>
      </c>
      <c r="AE77" s="84">
        <f t="shared" si="18"/>
        <v>54.662436387659007</v>
      </c>
      <c r="AF77" s="84">
        <f t="shared" si="19"/>
        <v>146.96810836713971</v>
      </c>
      <c r="AG77" s="84">
        <f t="shared" si="20"/>
        <v>0</v>
      </c>
      <c r="AH77" s="84">
        <f t="shared" si="21"/>
        <v>145.1972744877948</v>
      </c>
    </row>
    <row r="78" spans="1:34" ht="14.1" customHeight="1" x14ac:dyDescent="0.2">
      <c r="A78" s="84">
        <f t="shared" si="26"/>
        <v>-1</v>
      </c>
      <c r="B78" s="84">
        <f t="shared" si="22"/>
        <v>-2</v>
      </c>
      <c r="C78" s="84">
        <f t="shared" si="0"/>
        <v>325.72032632418973</v>
      </c>
      <c r="D78" s="41" t="str">
        <f>INDEX('Data input'!D:D, MATCH(A78, 'Data input'!C:C, -1))</f>
        <v>CLAY</v>
      </c>
      <c r="E78" s="84">
        <f>INDEX('Data input'!H:H, MATCH(A78, 'Data input'!C:C, -1))/gammagamma</f>
        <v>18</v>
      </c>
      <c r="F78" s="91">
        <f>INDEX('Data input'!G:G, MATCH(A78, 'Data input'!C:C, -1))/gammaPhi</f>
        <v>17.600000000000001</v>
      </c>
      <c r="G78" s="84">
        <f t="shared" si="1"/>
        <v>63.765000000000001</v>
      </c>
      <c r="H78" s="84">
        <f t="shared" si="2"/>
        <v>68.67</v>
      </c>
      <c r="I78" s="84">
        <f t="shared" si="3"/>
        <v>100.62</v>
      </c>
      <c r="J78" s="84">
        <f t="shared" si="4"/>
        <v>109.62</v>
      </c>
      <c r="K78" s="84">
        <f t="shared" si="23"/>
        <v>36.855000000000004</v>
      </c>
      <c r="L78" s="84">
        <f t="shared" si="23"/>
        <v>40.950000000000003</v>
      </c>
      <c r="M78" s="91">
        <f t="shared" si="24"/>
        <v>17.600000000000001</v>
      </c>
      <c r="N78" s="84">
        <f>IF(ISNUMBER(INDEX('Data input'!I:I, MATCH(A78, 'Data input'!C:C, -1))),INDEX('Data input'!I:I, MATCH(A78, 'Data input'!C:C, -1)),1-SIN(RADIANS(F78)))</f>
        <v>0.69763010924955549</v>
      </c>
      <c r="O78" s="84">
        <f t="shared" si="25"/>
        <v>0.22130130628159894</v>
      </c>
      <c r="P78" s="84" cm="1">
        <f t="array" ref="P78">(IFERROR(
    IF(
        OR(
            INDEX('Data input'!$D:$D, MATCH((A78+B78)/2, 'Data input'!$C$39:$C$117, -1)+36)&lt;&gt;"CLAY",
            INDEX('Data input'!$E:$E, MATCH((A78+B78)/2, 'Data input'!$C$39:$C$117, -1)+36)=0
        ),
        0,
        INDEX('Data input'!$E:$E, MATCH((A78+B78)/2, 'Data input'!$C$39:$C$117, -1)+36)
        +
        (
            (INDEX('Data input'!$F:$F, MATCH((A78+B78)/2, 'Data input'!$C$39:$C$117, -1)+36)
            -
            INDEX('Data input'!$E:$E, MATCH((A78+B78)/2, 'Data input'!$C$39:$C$117, -1)+36))
            /
            (INDEX('Data input'!$C:$C, MATCH((A78+B78)/2, 'Data input'!$C$39:$C$117, -1)+36)
            -
            IF(
                MATCH((A78+B78)/2, 'Data input'!$C$39:$C$117, -1)+36=41,
                -1000,
                INDEX('Data input'!$C:$C, MATCH((A78+B78)/2, 'Data input'!$C$39:$C$117, -1)+37)
            ))
        )
        *
        (INDEX('Data input'!$C:$C, MATCH((A78+B78)/2, 'Data input'!$C$39:$C$117, -1)+36) - (A78+B78)/2)
    ),
    ""
))/gammacu</f>
        <v>0</v>
      </c>
      <c r="Q78" s="84" cm="1">
        <f t="array" ref="Q78">(IFERROR(
    IF(
        OR(
            INDEX('Data input'!$D:$D, MATCH(B78+0.00001, 'Data input'!$C$39:$C$117, -1)+36)&lt;&gt;"CLAY",
            INDEX('Data input'!$E:$E, MATCH(B78+0.00001, 'Data input'!$C$39:$C$117, -1)+36)=0
        ),
        0,
        INDEX('Data input'!$E:$E, MATCH(B78+0.00001, 'Data input'!$C$39:$C$117, -1)+36)
        +
        (
            (INDEX('Data input'!$F:$F, MATCH(B78+0.00001, 'Data input'!$C$39:$C$117, -1)+36)
            -
            INDEX('Data input'!$E:$E, MATCH(B78+0.00001, 'Data input'!$C$39:$C$117, -1)+36))
            /
            (INDEX('Data input'!$C:$C, MATCH(B78+0.00001, 'Data input'!$C$39:$C$117, -1)+36)
            -
            IF(
                MATCH(B78+0.00001, 'Data input'!$C$39:$C$117, -1)+36=41,
                -1000,
                INDEX('Data input'!$C:$C, MATCH(B78+0.00001, 'Data input'!$C$39:$C$117, -1)+37)
            ))
        )
        *
        (INDEX('Data input'!$C:$C, MATCH(B78+0.00001, 'Data input'!$C$39:$C$117, -1)+36) - B78)
    ),
    ""
))/gammacu</f>
        <v>0</v>
      </c>
      <c r="R78" s="84">
        <f t="shared" si="5"/>
        <v>1</v>
      </c>
      <c r="S78" s="84">
        <f t="shared" si="6"/>
        <v>9</v>
      </c>
      <c r="T78" s="84">
        <f t="shared" si="7"/>
        <v>3.9666769982864638</v>
      </c>
      <c r="U78" s="84">
        <f t="shared" si="8"/>
        <v>0</v>
      </c>
      <c r="V78" s="84">
        <f t="shared" si="9"/>
        <v>0</v>
      </c>
      <c r="W78" s="84">
        <f t="shared" si="10"/>
        <v>0</v>
      </c>
      <c r="X78" s="84">
        <f t="shared" si="11"/>
        <v>0</v>
      </c>
      <c r="Y78" s="84">
        <f t="shared" si="12"/>
        <v>0</v>
      </c>
      <c r="Z78" s="84">
        <f t="shared" si="13"/>
        <v>0</v>
      </c>
      <c r="AA78" s="84">
        <f t="shared" si="14"/>
        <v>135.71680263507906</v>
      </c>
      <c r="AB78" s="84">
        <f t="shared" si="15"/>
        <v>8.1560596430083301</v>
      </c>
      <c r="AC78" s="84">
        <f t="shared" si="16"/>
        <v>5.4645599608155813</v>
      </c>
      <c r="AD78" s="84">
        <f t="shared" si="17"/>
        <v>162.43542307983071</v>
      </c>
      <c r="AE78" s="84">
        <f t="shared" si="18"/>
        <v>85.410056855717201</v>
      </c>
      <c r="AF78" s="84">
        <f t="shared" si="19"/>
        <v>183.71013545892458</v>
      </c>
      <c r="AG78" s="84">
        <f t="shared" si="20"/>
        <v>0</v>
      </c>
      <c r="AH78" s="84">
        <f t="shared" si="21"/>
        <v>192.94154072840959</v>
      </c>
    </row>
    <row r="79" spans="1:34" ht="14.1" customHeight="1" x14ac:dyDescent="0.2">
      <c r="A79" s="84">
        <f t="shared" si="26"/>
        <v>-2</v>
      </c>
      <c r="B79" s="84">
        <f t="shared" si="22"/>
        <v>-3</v>
      </c>
      <c r="C79" s="84">
        <f t="shared" si="0"/>
        <v>352.86368685120556</v>
      </c>
      <c r="D79" s="41" t="str">
        <f>INDEX('Data input'!D:D, MATCH(A79, 'Data input'!C:C, -1))</f>
        <v>CLAY</v>
      </c>
      <c r="E79" s="84">
        <f>INDEX('Data input'!H:H, MATCH(A79, 'Data input'!C:C, -1))/gammagamma</f>
        <v>18</v>
      </c>
      <c r="F79" s="91">
        <f>INDEX('Data input'!G:G, MATCH(A79, 'Data input'!C:C, -1))/gammaPhi</f>
        <v>17.600000000000001</v>
      </c>
      <c r="G79" s="84">
        <f t="shared" si="1"/>
        <v>73.575000000000003</v>
      </c>
      <c r="H79" s="84">
        <f t="shared" si="2"/>
        <v>78.48</v>
      </c>
      <c r="I79" s="84">
        <f t="shared" si="3"/>
        <v>118.62</v>
      </c>
      <c r="J79" s="84">
        <f t="shared" si="4"/>
        <v>127.62</v>
      </c>
      <c r="K79" s="84">
        <f t="shared" si="23"/>
        <v>45.045000000000002</v>
      </c>
      <c r="L79" s="84">
        <f t="shared" si="23"/>
        <v>49.14</v>
      </c>
      <c r="M79" s="91">
        <f t="shared" si="24"/>
        <v>17.600000000000001</v>
      </c>
      <c r="N79" s="84">
        <f>IF(ISNUMBER(INDEX('Data input'!I:I, MATCH(A79, 'Data input'!C:C, -1))),INDEX('Data input'!I:I, MATCH(A79, 'Data input'!C:C, -1)),1-SIN(RADIANS(F79)))</f>
        <v>0.69763010924955549</v>
      </c>
      <c r="O79" s="84">
        <f t="shared" si="25"/>
        <v>0.22130130628159894</v>
      </c>
      <c r="P79" s="84" cm="1">
        <f t="array" ref="P79">(IFERROR(
    IF(
        OR(
            INDEX('Data input'!$D:$D, MATCH((A79+B79)/2, 'Data input'!$C$39:$C$117, -1)+36)&lt;&gt;"CLAY",
            INDEX('Data input'!$E:$E, MATCH((A79+B79)/2, 'Data input'!$C$39:$C$117, -1)+36)=0
        ),
        0,
        INDEX('Data input'!$E:$E, MATCH((A79+B79)/2, 'Data input'!$C$39:$C$117, -1)+36)
        +
        (
            (INDEX('Data input'!$F:$F, MATCH((A79+B79)/2, 'Data input'!$C$39:$C$117, -1)+36)
            -
            INDEX('Data input'!$E:$E, MATCH((A79+B79)/2, 'Data input'!$C$39:$C$117, -1)+36))
            /
            (INDEX('Data input'!$C:$C, MATCH((A79+B79)/2, 'Data input'!$C$39:$C$117, -1)+36)
            -
            IF(
                MATCH((A79+B79)/2, 'Data input'!$C$39:$C$117, -1)+36=41,
                -1000,
                INDEX('Data input'!$C:$C, MATCH((A79+B79)/2, 'Data input'!$C$39:$C$117, -1)+37)
            ))
        )
        *
        (INDEX('Data input'!$C:$C, MATCH((A79+B79)/2, 'Data input'!$C$39:$C$117, -1)+36) - (A79+B79)/2)
    ),
    ""
))/gammacu</f>
        <v>0</v>
      </c>
      <c r="Q79" s="84" cm="1">
        <f t="array" ref="Q79">(IFERROR(
    IF(
        OR(
            INDEX('Data input'!$D:$D, MATCH(B79+0.00001, 'Data input'!$C$39:$C$117, -1)+36)&lt;&gt;"CLAY",
            INDEX('Data input'!$E:$E, MATCH(B79+0.00001, 'Data input'!$C$39:$C$117, -1)+36)=0
        ),
        0,
        INDEX('Data input'!$E:$E, MATCH(B79+0.00001, 'Data input'!$C$39:$C$117, -1)+36)
        +
        (
            (INDEX('Data input'!$F:$F, MATCH(B79+0.00001, 'Data input'!$C$39:$C$117, -1)+36)
            -
            INDEX('Data input'!$E:$E, MATCH(B79+0.00001, 'Data input'!$C$39:$C$117, -1)+36))
            /
            (INDEX('Data input'!$C:$C, MATCH(B79+0.00001, 'Data input'!$C$39:$C$117, -1)+36)
            -
            IF(
                MATCH(B79+0.00001, 'Data input'!$C$39:$C$117, -1)+36=41,
                -1000,
                INDEX('Data input'!$C:$C, MATCH(B79+0.00001, 'Data input'!$C$39:$C$117, -1)+37)
            ))
        )
        *
        (INDEX('Data input'!$C:$C, MATCH(B79+0.00001, 'Data input'!$C$39:$C$117, -1)+36) - B79)
    ),
    ""
))/gammacu</f>
        <v>0</v>
      </c>
      <c r="R79" s="84">
        <f t="shared" si="5"/>
        <v>1</v>
      </c>
      <c r="S79" s="84">
        <f t="shared" si="6"/>
        <v>9</v>
      </c>
      <c r="T79" s="84">
        <f t="shared" si="7"/>
        <v>3.9666769982864638</v>
      </c>
      <c r="U79" s="84">
        <f t="shared" si="8"/>
        <v>0</v>
      </c>
      <c r="V79" s="84">
        <f t="shared" si="9"/>
        <v>0</v>
      </c>
      <c r="W79" s="84">
        <f t="shared" si="10"/>
        <v>0</v>
      </c>
      <c r="X79" s="84">
        <f t="shared" si="11"/>
        <v>0</v>
      </c>
      <c r="Y79" s="84">
        <f t="shared" si="12"/>
        <v>0</v>
      </c>
      <c r="Z79" s="84">
        <f t="shared" si="13"/>
        <v>0</v>
      </c>
      <c r="AA79" s="84">
        <f t="shared" si="14"/>
        <v>162.86016316209486</v>
      </c>
      <c r="AB79" s="84">
        <f t="shared" si="15"/>
        <v>9.9685173414546249</v>
      </c>
      <c r="AC79" s="84">
        <f t="shared" si="16"/>
        <v>6.6789066187745991</v>
      </c>
      <c r="AD79" s="84">
        <f t="shared" si="17"/>
        <v>194.92250769579684</v>
      </c>
      <c r="AE79" s="84">
        <f t="shared" si="18"/>
        <v>122.99048187223276</v>
      </c>
      <c r="AF79" s="84">
        <f t="shared" si="19"/>
        <v>220.45216255070949</v>
      </c>
      <c r="AG79" s="84">
        <f t="shared" si="20"/>
        <v>0</v>
      </c>
      <c r="AH79" s="84">
        <f t="shared" si="21"/>
        <v>245.26378601649083</v>
      </c>
    </row>
    <row r="80" spans="1:34" ht="14.1" customHeight="1" x14ac:dyDescent="0.2">
      <c r="A80" s="84">
        <f t="shared" si="26"/>
        <v>-3</v>
      </c>
      <c r="B80" s="84">
        <f t="shared" si="22"/>
        <v>-4</v>
      </c>
      <c r="C80" s="84">
        <f t="shared" si="0"/>
        <v>380.00704737822139</v>
      </c>
      <c r="D80" s="41" t="str">
        <f>INDEX('Data input'!D:D, MATCH(A80, 'Data input'!C:C, -1))</f>
        <v>CLAY</v>
      </c>
      <c r="E80" s="84">
        <f>INDEX('Data input'!H:H, MATCH(A80, 'Data input'!C:C, -1))/gammagamma</f>
        <v>18</v>
      </c>
      <c r="F80" s="91">
        <f>INDEX('Data input'!G:G, MATCH(A80, 'Data input'!C:C, -1))/gammaPhi</f>
        <v>17.600000000000001</v>
      </c>
      <c r="G80" s="84">
        <f t="shared" si="1"/>
        <v>83.385000000000005</v>
      </c>
      <c r="H80" s="84">
        <f t="shared" si="2"/>
        <v>88.29</v>
      </c>
      <c r="I80" s="84">
        <f t="shared" si="3"/>
        <v>136.62</v>
      </c>
      <c r="J80" s="84">
        <f t="shared" si="4"/>
        <v>145.62</v>
      </c>
      <c r="K80" s="84">
        <f t="shared" si="23"/>
        <v>53.234999999999999</v>
      </c>
      <c r="L80" s="84">
        <f t="shared" si="23"/>
        <v>57.33</v>
      </c>
      <c r="M80" s="91">
        <f t="shared" si="24"/>
        <v>17.600000000000001</v>
      </c>
      <c r="N80" s="84">
        <f>IF(ISNUMBER(INDEX('Data input'!I:I, MATCH(A80, 'Data input'!C:C, -1))),INDEX('Data input'!I:I, MATCH(A80, 'Data input'!C:C, -1)),1-SIN(RADIANS(F80)))</f>
        <v>0.69763010924955549</v>
      </c>
      <c r="O80" s="84">
        <f t="shared" si="25"/>
        <v>0.22130130628159894</v>
      </c>
      <c r="P80" s="84" cm="1">
        <f t="array" ref="P80">(IFERROR(
    IF(
        OR(
            INDEX('Data input'!$D:$D, MATCH((A80+B80)/2, 'Data input'!$C$39:$C$117, -1)+36)&lt;&gt;"CLAY",
            INDEX('Data input'!$E:$E, MATCH((A80+B80)/2, 'Data input'!$C$39:$C$117, -1)+36)=0
        ),
        0,
        INDEX('Data input'!$E:$E, MATCH((A80+B80)/2, 'Data input'!$C$39:$C$117, -1)+36)
        +
        (
            (INDEX('Data input'!$F:$F, MATCH((A80+B80)/2, 'Data input'!$C$39:$C$117, -1)+36)
            -
            INDEX('Data input'!$E:$E, MATCH((A80+B80)/2, 'Data input'!$C$39:$C$117, -1)+36))
            /
            (INDEX('Data input'!$C:$C, MATCH((A80+B80)/2, 'Data input'!$C$39:$C$117, -1)+36)
            -
            IF(
                MATCH((A80+B80)/2, 'Data input'!$C$39:$C$117, -1)+36=41,
                -1000,
                INDEX('Data input'!$C:$C, MATCH((A80+B80)/2, 'Data input'!$C$39:$C$117, -1)+37)
            ))
        )
        *
        (INDEX('Data input'!$C:$C, MATCH((A80+B80)/2, 'Data input'!$C$39:$C$117, -1)+36) - (A80+B80)/2)
    ),
    ""
))/gammacu</f>
        <v>0</v>
      </c>
      <c r="Q80" s="84" cm="1">
        <f t="array" ref="Q80">(IFERROR(
    IF(
        OR(
            INDEX('Data input'!$D:$D, MATCH(B80+0.00001, 'Data input'!$C$39:$C$117, -1)+36)&lt;&gt;"CLAY",
            INDEX('Data input'!$E:$E, MATCH(B80+0.00001, 'Data input'!$C$39:$C$117, -1)+36)=0
        ),
        0,
        INDEX('Data input'!$E:$E, MATCH(B80+0.00001, 'Data input'!$C$39:$C$117, -1)+36)
        +
        (
            (INDEX('Data input'!$F:$F, MATCH(B80+0.00001, 'Data input'!$C$39:$C$117, -1)+36)
            -
            INDEX('Data input'!$E:$E, MATCH(B80+0.00001, 'Data input'!$C$39:$C$117, -1)+36))
            /
            (INDEX('Data input'!$C:$C, MATCH(B80+0.00001, 'Data input'!$C$39:$C$117, -1)+36)
            -
            IF(
                MATCH(B80+0.00001, 'Data input'!$C$39:$C$117, -1)+36=41,
                -1000,
                INDEX('Data input'!$C:$C, MATCH(B80+0.00001, 'Data input'!$C$39:$C$117, -1)+37)
            ))
        )
        *
        (INDEX('Data input'!$C:$C, MATCH(B80+0.00001, 'Data input'!$C$39:$C$117, -1)+36) - B80)
    ),
    ""
))/gammacu</f>
        <v>0</v>
      </c>
      <c r="R80" s="84">
        <f t="shared" si="5"/>
        <v>1</v>
      </c>
      <c r="S80" s="84">
        <f t="shared" si="6"/>
        <v>9</v>
      </c>
      <c r="T80" s="84">
        <f t="shared" si="7"/>
        <v>3.9666769982864638</v>
      </c>
      <c r="U80" s="84">
        <f t="shared" si="8"/>
        <v>0</v>
      </c>
      <c r="V80" s="84">
        <f t="shared" si="9"/>
        <v>0</v>
      </c>
      <c r="W80" s="84">
        <f t="shared" si="10"/>
        <v>0</v>
      </c>
      <c r="X80" s="84">
        <f t="shared" si="11"/>
        <v>0</v>
      </c>
      <c r="Y80" s="84">
        <f t="shared" si="12"/>
        <v>0</v>
      </c>
      <c r="Z80" s="84">
        <f t="shared" si="13"/>
        <v>0</v>
      </c>
      <c r="AA80" s="84">
        <f t="shared" si="14"/>
        <v>190.00352368911066</v>
      </c>
      <c r="AB80" s="84">
        <f t="shared" si="15"/>
        <v>11.78097503990092</v>
      </c>
      <c r="AC80" s="84">
        <f t="shared" si="16"/>
        <v>7.893253276733617</v>
      </c>
      <c r="AD80" s="84">
        <f t="shared" si="17"/>
        <v>227.40959231176296</v>
      </c>
      <c r="AE80" s="84">
        <f t="shared" si="18"/>
        <v>167.40371143720569</v>
      </c>
      <c r="AF80" s="84">
        <f t="shared" si="19"/>
        <v>257.19418964249439</v>
      </c>
      <c r="AG80" s="84">
        <f t="shared" si="20"/>
        <v>44.590853701478693</v>
      </c>
      <c r="AH80" s="84">
        <f t="shared" si="21"/>
        <v>302.16401035203853</v>
      </c>
    </row>
    <row r="81" spans="1:34" ht="14.1" customHeight="1" x14ac:dyDescent="0.2">
      <c r="A81" s="84">
        <f t="shared" si="26"/>
        <v>-4</v>
      </c>
      <c r="B81" s="84">
        <f t="shared" si="22"/>
        <v>-5</v>
      </c>
      <c r="C81" s="84">
        <f t="shared" si="0"/>
        <v>407.15040790523722</v>
      </c>
      <c r="D81" s="41" t="str">
        <f>INDEX('Data input'!D:D, MATCH(A81, 'Data input'!C:C, -1))</f>
        <v>CLAY</v>
      </c>
      <c r="E81" s="84">
        <f>INDEX('Data input'!H:H, MATCH(A81, 'Data input'!C:C, -1))/gammagamma</f>
        <v>18</v>
      </c>
      <c r="F81" s="91">
        <f>INDEX('Data input'!G:G, MATCH(A81, 'Data input'!C:C, -1))/gammaPhi</f>
        <v>17.600000000000001</v>
      </c>
      <c r="G81" s="84">
        <f t="shared" si="1"/>
        <v>93.195000000000007</v>
      </c>
      <c r="H81" s="84">
        <f t="shared" si="2"/>
        <v>98.100000000000009</v>
      </c>
      <c r="I81" s="84">
        <f t="shared" si="3"/>
        <v>154.62</v>
      </c>
      <c r="J81" s="84">
        <f t="shared" si="4"/>
        <v>163.62</v>
      </c>
      <c r="K81" s="84">
        <f t="shared" si="23"/>
        <v>61.424999999999997</v>
      </c>
      <c r="L81" s="84">
        <f t="shared" si="23"/>
        <v>65.52</v>
      </c>
      <c r="M81" s="91">
        <f t="shared" si="24"/>
        <v>17.600000000000001</v>
      </c>
      <c r="N81" s="84">
        <f>IF(ISNUMBER(INDEX('Data input'!I:I, MATCH(A81, 'Data input'!C:C, -1))),INDEX('Data input'!I:I, MATCH(A81, 'Data input'!C:C, -1)),1-SIN(RADIANS(F81)))</f>
        <v>0.69763010924955549</v>
      </c>
      <c r="O81" s="84">
        <f t="shared" si="25"/>
        <v>0.22130130628159894</v>
      </c>
      <c r="P81" s="84" cm="1">
        <f t="array" ref="P81">(IFERROR(
    IF(
        OR(
            INDEX('Data input'!$D:$D, MATCH((A81+B81)/2, 'Data input'!$C$39:$C$117, -1)+36)&lt;&gt;"CLAY",
            INDEX('Data input'!$E:$E, MATCH((A81+B81)/2, 'Data input'!$C$39:$C$117, -1)+36)=0
        ),
        0,
        INDEX('Data input'!$E:$E, MATCH((A81+B81)/2, 'Data input'!$C$39:$C$117, -1)+36)
        +
        (
            (INDEX('Data input'!$F:$F, MATCH((A81+B81)/2, 'Data input'!$C$39:$C$117, -1)+36)
            -
            INDEX('Data input'!$E:$E, MATCH((A81+B81)/2, 'Data input'!$C$39:$C$117, -1)+36))
            /
            (INDEX('Data input'!$C:$C, MATCH((A81+B81)/2, 'Data input'!$C$39:$C$117, -1)+36)
            -
            IF(
                MATCH((A81+B81)/2, 'Data input'!$C$39:$C$117, -1)+36=41,
                -1000,
                INDEX('Data input'!$C:$C, MATCH((A81+B81)/2, 'Data input'!$C$39:$C$117, -1)+37)
            ))
        )
        *
        (INDEX('Data input'!$C:$C, MATCH((A81+B81)/2, 'Data input'!$C$39:$C$117, -1)+36) - (A81+B81)/2)
    ),
    ""
))/gammacu</f>
        <v>0</v>
      </c>
      <c r="Q81" s="84" cm="1">
        <f t="array" ref="Q81">(IFERROR(
    IF(
        OR(
            INDEX('Data input'!$D:$D, MATCH(B81+0.00001, 'Data input'!$C$39:$C$117, -1)+36)&lt;&gt;"CLAY",
            INDEX('Data input'!$E:$E, MATCH(B81+0.00001, 'Data input'!$C$39:$C$117, -1)+36)=0
        ),
        0,
        INDEX('Data input'!$E:$E, MATCH(B81+0.00001, 'Data input'!$C$39:$C$117, -1)+36)
        +
        (
            (INDEX('Data input'!$F:$F, MATCH(B81+0.00001, 'Data input'!$C$39:$C$117, -1)+36)
            -
            INDEX('Data input'!$E:$E, MATCH(B81+0.00001, 'Data input'!$C$39:$C$117, -1)+36))
            /
            (INDEX('Data input'!$C:$C, MATCH(B81+0.00001, 'Data input'!$C$39:$C$117, -1)+36)
            -
            IF(
                MATCH(B81+0.00001, 'Data input'!$C$39:$C$117, -1)+36=41,
                -1000,
                INDEX('Data input'!$C:$C, MATCH(B81+0.00001, 'Data input'!$C$39:$C$117, -1)+37)
            ))
        )
        *
        (INDEX('Data input'!$C:$C, MATCH(B81+0.00001, 'Data input'!$C$39:$C$117, -1)+36) - B81)
    ),
    ""
))/gammacu</f>
        <v>0</v>
      </c>
      <c r="R81" s="84">
        <f t="shared" si="5"/>
        <v>1</v>
      </c>
      <c r="S81" s="84">
        <f t="shared" si="6"/>
        <v>9</v>
      </c>
      <c r="T81" s="84">
        <f t="shared" si="7"/>
        <v>3.9666769982864638</v>
      </c>
      <c r="U81" s="84">
        <f t="shared" si="8"/>
        <v>0</v>
      </c>
      <c r="V81" s="84">
        <f t="shared" si="9"/>
        <v>0</v>
      </c>
      <c r="W81" s="84">
        <f t="shared" si="10"/>
        <v>0</v>
      </c>
      <c r="X81" s="84">
        <f t="shared" si="11"/>
        <v>0</v>
      </c>
      <c r="Y81" s="84">
        <f t="shared" si="12"/>
        <v>0</v>
      </c>
      <c r="Z81" s="84">
        <f t="shared" si="13"/>
        <v>0</v>
      </c>
      <c r="AA81" s="84">
        <f t="shared" si="14"/>
        <v>217.14688421612647</v>
      </c>
      <c r="AB81" s="84">
        <f t="shared" si="15"/>
        <v>13.593432738347214</v>
      </c>
      <c r="AC81" s="84">
        <f t="shared" si="16"/>
        <v>9.1075999346926348</v>
      </c>
      <c r="AD81" s="84">
        <f t="shared" si="17"/>
        <v>259.89667692772912</v>
      </c>
      <c r="AE81" s="84">
        <f t="shared" si="18"/>
        <v>218.649745550636</v>
      </c>
      <c r="AF81" s="84">
        <f t="shared" si="19"/>
        <v>293.9362167342793</v>
      </c>
      <c r="AG81" s="84">
        <f t="shared" si="20"/>
        <v>105.43555437967802</v>
      </c>
      <c r="AH81" s="84">
        <f t="shared" si="21"/>
        <v>363.64221373505268</v>
      </c>
    </row>
    <row r="82" spans="1:34" ht="14.1" customHeight="1" x14ac:dyDescent="0.2">
      <c r="A82" s="84">
        <f t="shared" si="26"/>
        <v>-5</v>
      </c>
      <c r="B82" s="84">
        <f t="shared" si="22"/>
        <v>-6</v>
      </c>
      <c r="C82" s="84">
        <f t="shared" si="0"/>
        <v>434.29376843225305</v>
      </c>
      <c r="D82" s="41" t="str">
        <f>INDEX('Data input'!D:D, MATCH(A82, 'Data input'!C:C, -1))</f>
        <v>CLAY</v>
      </c>
      <c r="E82" s="84">
        <f>INDEX('Data input'!H:H, MATCH(A82, 'Data input'!C:C, -1))/gammagamma</f>
        <v>18</v>
      </c>
      <c r="F82" s="91">
        <f>INDEX('Data input'!G:G, MATCH(A82, 'Data input'!C:C, -1))/gammaPhi</f>
        <v>17.600000000000001</v>
      </c>
      <c r="G82" s="84">
        <f t="shared" si="1"/>
        <v>103.00500000000001</v>
      </c>
      <c r="H82" s="84">
        <f t="shared" si="2"/>
        <v>107.91000000000001</v>
      </c>
      <c r="I82" s="84">
        <f t="shared" si="3"/>
        <v>172.62</v>
      </c>
      <c r="J82" s="84">
        <f t="shared" si="4"/>
        <v>181.62</v>
      </c>
      <c r="K82" s="84">
        <f t="shared" si="23"/>
        <v>69.614999999999995</v>
      </c>
      <c r="L82" s="84">
        <f t="shared" si="23"/>
        <v>73.709999999999994</v>
      </c>
      <c r="M82" s="91">
        <f t="shared" si="24"/>
        <v>17.600000000000001</v>
      </c>
      <c r="N82" s="84">
        <f>IF(ISNUMBER(INDEX('Data input'!I:I, MATCH(A82, 'Data input'!C:C, -1))),INDEX('Data input'!I:I, MATCH(A82, 'Data input'!C:C, -1)),1-SIN(RADIANS(F82)))</f>
        <v>0.69763010924955549</v>
      </c>
      <c r="O82" s="84">
        <f t="shared" si="25"/>
        <v>0.22130130628159894</v>
      </c>
      <c r="P82" s="84" cm="1">
        <f t="array" ref="P82">(IFERROR(
    IF(
        OR(
            INDEX('Data input'!$D:$D, MATCH((A82+B82)/2, 'Data input'!$C$39:$C$117, -1)+36)&lt;&gt;"CLAY",
            INDEX('Data input'!$E:$E, MATCH((A82+B82)/2, 'Data input'!$C$39:$C$117, -1)+36)=0
        ),
        0,
        INDEX('Data input'!$E:$E, MATCH((A82+B82)/2, 'Data input'!$C$39:$C$117, -1)+36)
        +
        (
            (INDEX('Data input'!$F:$F, MATCH((A82+B82)/2, 'Data input'!$C$39:$C$117, -1)+36)
            -
            INDEX('Data input'!$E:$E, MATCH((A82+B82)/2, 'Data input'!$C$39:$C$117, -1)+36))
            /
            (INDEX('Data input'!$C:$C, MATCH((A82+B82)/2, 'Data input'!$C$39:$C$117, -1)+36)
            -
            IF(
                MATCH((A82+B82)/2, 'Data input'!$C$39:$C$117, -1)+36=41,
                -1000,
                INDEX('Data input'!$C:$C, MATCH((A82+B82)/2, 'Data input'!$C$39:$C$117, -1)+37)
            ))
        )
        *
        (INDEX('Data input'!$C:$C, MATCH((A82+B82)/2, 'Data input'!$C$39:$C$117, -1)+36) - (A82+B82)/2)
    ),
    ""
))/gammacu</f>
        <v>0</v>
      </c>
      <c r="Q82" s="84" cm="1">
        <f t="array" ref="Q82">(IFERROR(
    IF(
        OR(
            INDEX('Data input'!$D:$D, MATCH(B82+0.00001, 'Data input'!$C$39:$C$117, -1)+36)&lt;&gt;"CLAY",
            INDEX('Data input'!$E:$E, MATCH(B82+0.00001, 'Data input'!$C$39:$C$117, -1)+36)=0
        ),
        0,
        INDEX('Data input'!$E:$E, MATCH(B82+0.00001, 'Data input'!$C$39:$C$117, -1)+36)
        +
        (
            (INDEX('Data input'!$F:$F, MATCH(B82+0.00001, 'Data input'!$C$39:$C$117, -1)+36)
            -
            INDEX('Data input'!$E:$E, MATCH(B82+0.00001, 'Data input'!$C$39:$C$117, -1)+36))
            /
            (INDEX('Data input'!$C:$C, MATCH(B82+0.00001, 'Data input'!$C$39:$C$117, -1)+36)
            -
            IF(
                MATCH(B82+0.00001, 'Data input'!$C$39:$C$117, -1)+36=41,
                -1000,
                INDEX('Data input'!$C:$C, MATCH(B82+0.00001, 'Data input'!$C$39:$C$117, -1)+37)
            ))
        )
        *
        (INDEX('Data input'!$C:$C, MATCH(B82+0.00001, 'Data input'!$C$39:$C$117, -1)+36) - B82)
    ),
    ""
))/gammacu</f>
        <v>0</v>
      </c>
      <c r="R82" s="84">
        <f t="shared" si="5"/>
        <v>1</v>
      </c>
      <c r="S82" s="84">
        <f t="shared" si="6"/>
        <v>9</v>
      </c>
      <c r="T82" s="84">
        <f t="shared" si="7"/>
        <v>3.9666769982864638</v>
      </c>
      <c r="U82" s="84">
        <f t="shared" si="8"/>
        <v>0</v>
      </c>
      <c r="V82" s="84">
        <f t="shared" si="9"/>
        <v>0</v>
      </c>
      <c r="W82" s="84">
        <f t="shared" si="10"/>
        <v>0</v>
      </c>
      <c r="X82" s="84">
        <f t="shared" si="11"/>
        <v>0</v>
      </c>
      <c r="Y82" s="84">
        <f t="shared" si="12"/>
        <v>0</v>
      </c>
      <c r="Z82" s="84">
        <f t="shared" si="13"/>
        <v>0</v>
      </c>
      <c r="AA82" s="84">
        <f t="shared" si="14"/>
        <v>244.29024474314227</v>
      </c>
      <c r="AB82" s="84">
        <f t="shared" si="15"/>
        <v>15.405890436793509</v>
      </c>
      <c r="AC82" s="84">
        <f t="shared" si="16"/>
        <v>10.321946592651651</v>
      </c>
      <c r="AD82" s="84">
        <f t="shared" si="17"/>
        <v>292.38376154369524</v>
      </c>
      <c r="AE82" s="84">
        <f t="shared" si="18"/>
        <v>276.72858421252369</v>
      </c>
      <c r="AF82" s="84">
        <f t="shared" si="19"/>
        <v>330.6782438260642</v>
      </c>
      <c r="AG82" s="84">
        <f t="shared" si="20"/>
        <v>173.1130596063349</v>
      </c>
      <c r="AH82" s="84">
        <f t="shared" si="21"/>
        <v>429.69839616553327</v>
      </c>
    </row>
    <row r="83" spans="1:34" ht="14.1" customHeight="1" x14ac:dyDescent="0.2">
      <c r="A83" s="84">
        <f t="shared" si="26"/>
        <v>-6</v>
      </c>
      <c r="B83" s="84">
        <f t="shared" si="22"/>
        <v>-7</v>
      </c>
      <c r="C83" s="84">
        <f t="shared" si="0"/>
        <v>461.43712895926888</v>
      </c>
      <c r="D83" s="41" t="str">
        <f>INDEX('Data input'!D:D, MATCH(A83, 'Data input'!C:C, -1))</f>
        <v>CLAY</v>
      </c>
      <c r="E83" s="84">
        <f>INDEX('Data input'!H:H, MATCH(A83, 'Data input'!C:C, -1))/gammagamma</f>
        <v>18</v>
      </c>
      <c r="F83" s="91">
        <f>INDEX('Data input'!G:G, MATCH(A83, 'Data input'!C:C, -1))/gammaPhi</f>
        <v>17.600000000000001</v>
      </c>
      <c r="G83" s="84">
        <f t="shared" si="1"/>
        <v>112.81500000000001</v>
      </c>
      <c r="H83" s="84">
        <f t="shared" si="2"/>
        <v>117.72</v>
      </c>
      <c r="I83" s="84">
        <f t="shared" si="3"/>
        <v>190.62</v>
      </c>
      <c r="J83" s="84">
        <f t="shared" si="4"/>
        <v>199.62</v>
      </c>
      <c r="K83" s="84">
        <f t="shared" si="23"/>
        <v>77.804999999999993</v>
      </c>
      <c r="L83" s="84">
        <f t="shared" si="23"/>
        <v>81.900000000000006</v>
      </c>
      <c r="M83" s="91">
        <f t="shared" si="24"/>
        <v>17.600000000000001</v>
      </c>
      <c r="N83" s="84">
        <f>IF(ISNUMBER(INDEX('Data input'!I:I, MATCH(A83, 'Data input'!C:C, -1))),INDEX('Data input'!I:I, MATCH(A83, 'Data input'!C:C, -1)),1-SIN(RADIANS(F83)))</f>
        <v>0.69763010924955549</v>
      </c>
      <c r="O83" s="84">
        <f t="shared" si="25"/>
        <v>0.22130130628159894</v>
      </c>
      <c r="P83" s="84" cm="1">
        <f t="array" ref="P83">(IFERROR(
    IF(
        OR(
            INDEX('Data input'!$D:$D, MATCH((A83+B83)/2, 'Data input'!$C$39:$C$117, -1)+36)&lt;&gt;"CLAY",
            INDEX('Data input'!$E:$E, MATCH((A83+B83)/2, 'Data input'!$C$39:$C$117, -1)+36)=0
        ),
        0,
        INDEX('Data input'!$E:$E, MATCH((A83+B83)/2, 'Data input'!$C$39:$C$117, -1)+36)
        +
        (
            (INDEX('Data input'!$F:$F, MATCH((A83+B83)/2, 'Data input'!$C$39:$C$117, -1)+36)
            -
            INDEX('Data input'!$E:$E, MATCH((A83+B83)/2, 'Data input'!$C$39:$C$117, -1)+36))
            /
            (INDEX('Data input'!$C:$C, MATCH((A83+B83)/2, 'Data input'!$C$39:$C$117, -1)+36)
            -
            IF(
                MATCH((A83+B83)/2, 'Data input'!$C$39:$C$117, -1)+36=41,
                -1000,
                INDEX('Data input'!$C:$C, MATCH((A83+B83)/2, 'Data input'!$C$39:$C$117, -1)+37)
            ))
        )
        *
        (INDEX('Data input'!$C:$C, MATCH((A83+B83)/2, 'Data input'!$C$39:$C$117, -1)+36) - (A83+B83)/2)
    ),
    ""
))/gammacu</f>
        <v>0</v>
      </c>
      <c r="Q83" s="84" cm="1">
        <f t="array" ref="Q83">(IFERROR(
    IF(
        OR(
            INDEX('Data input'!$D:$D, MATCH(B83+0.00001, 'Data input'!$C$39:$C$117, -1)+36)&lt;&gt;"CLAY",
            INDEX('Data input'!$E:$E, MATCH(B83+0.00001, 'Data input'!$C$39:$C$117, -1)+36)=0
        ),
        0,
        INDEX('Data input'!$E:$E, MATCH(B83+0.00001, 'Data input'!$C$39:$C$117, -1)+36)
        +
        (
            (INDEX('Data input'!$F:$F, MATCH(B83+0.00001, 'Data input'!$C$39:$C$117, -1)+36)
            -
            INDEX('Data input'!$E:$E, MATCH(B83+0.00001, 'Data input'!$C$39:$C$117, -1)+36))
            /
            (INDEX('Data input'!$C:$C, MATCH(B83+0.00001, 'Data input'!$C$39:$C$117, -1)+36)
            -
            IF(
                MATCH(B83+0.00001, 'Data input'!$C$39:$C$117, -1)+36=41,
                -1000,
                INDEX('Data input'!$C:$C, MATCH(B83+0.00001, 'Data input'!$C$39:$C$117, -1)+37)
            ))
        )
        *
        (INDEX('Data input'!$C:$C, MATCH(B83+0.00001, 'Data input'!$C$39:$C$117, -1)+36) - B83)
    ),
    ""
))/gammacu</f>
        <v>0</v>
      </c>
      <c r="R83" s="84">
        <f t="shared" si="5"/>
        <v>1</v>
      </c>
      <c r="S83" s="84">
        <f t="shared" si="6"/>
        <v>9</v>
      </c>
      <c r="T83" s="84">
        <f t="shared" si="7"/>
        <v>3.9666769982864638</v>
      </c>
      <c r="U83" s="84">
        <f t="shared" si="8"/>
        <v>0</v>
      </c>
      <c r="V83" s="84">
        <f t="shared" si="9"/>
        <v>0</v>
      </c>
      <c r="W83" s="84">
        <f t="shared" si="10"/>
        <v>0</v>
      </c>
      <c r="X83" s="84">
        <f t="shared" si="11"/>
        <v>0</v>
      </c>
      <c r="Y83" s="84">
        <f t="shared" si="12"/>
        <v>0</v>
      </c>
      <c r="Z83" s="84">
        <f t="shared" si="13"/>
        <v>0</v>
      </c>
      <c r="AA83" s="84">
        <f t="shared" si="14"/>
        <v>271.43360527015807</v>
      </c>
      <c r="AB83" s="84">
        <f t="shared" si="15"/>
        <v>17.218348135239804</v>
      </c>
      <c r="AC83" s="84">
        <f t="shared" si="16"/>
        <v>11.536293250610669</v>
      </c>
      <c r="AD83" s="84">
        <f t="shared" si="17"/>
        <v>324.87084615966143</v>
      </c>
      <c r="AE83" s="84">
        <f t="shared" si="18"/>
        <v>341.64022742286875</v>
      </c>
      <c r="AF83" s="84">
        <f t="shared" si="19"/>
        <v>367.42027091784917</v>
      </c>
      <c r="AG83" s="84">
        <f t="shared" si="20"/>
        <v>247.62336938144904</v>
      </c>
      <c r="AH83" s="84">
        <f t="shared" si="21"/>
        <v>500.3325576434803</v>
      </c>
    </row>
    <row r="84" spans="1:34" ht="14.1" customHeight="1" x14ac:dyDescent="0.2">
      <c r="A84" s="84">
        <f t="shared" si="26"/>
        <v>-7</v>
      </c>
      <c r="B84" s="84">
        <f t="shared" si="22"/>
        <v>-8</v>
      </c>
      <c r="C84" s="84">
        <f t="shared" si="0"/>
        <v>488.5804894862847</v>
      </c>
      <c r="D84" s="41" t="str">
        <f>INDEX('Data input'!D:D, MATCH(A84, 'Data input'!C:C, -1))</f>
        <v>CLAY</v>
      </c>
      <c r="E84" s="84">
        <f>INDEX('Data input'!H:H, MATCH(A84, 'Data input'!C:C, -1))/gammagamma</f>
        <v>18</v>
      </c>
      <c r="F84" s="91">
        <f>INDEX('Data input'!G:G, MATCH(A84, 'Data input'!C:C, -1))/gammaPhi</f>
        <v>17.600000000000001</v>
      </c>
      <c r="G84" s="84">
        <f t="shared" si="1"/>
        <v>122.625</v>
      </c>
      <c r="H84" s="84">
        <f t="shared" si="2"/>
        <v>127.53</v>
      </c>
      <c r="I84" s="84">
        <f t="shared" si="3"/>
        <v>208.62</v>
      </c>
      <c r="J84" s="84">
        <f t="shared" si="4"/>
        <v>217.62</v>
      </c>
      <c r="K84" s="84">
        <f t="shared" si="23"/>
        <v>85.995000000000005</v>
      </c>
      <c r="L84" s="84">
        <f t="shared" si="23"/>
        <v>90.09</v>
      </c>
      <c r="M84" s="91">
        <f t="shared" si="24"/>
        <v>17.600000000000001</v>
      </c>
      <c r="N84" s="84">
        <f>IF(ISNUMBER(INDEX('Data input'!I:I, MATCH(A84, 'Data input'!C:C, -1))),INDEX('Data input'!I:I, MATCH(A84, 'Data input'!C:C, -1)),1-SIN(RADIANS(F84)))</f>
        <v>0.69763010924955549</v>
      </c>
      <c r="O84" s="84">
        <f t="shared" si="25"/>
        <v>0.22130130628159894</v>
      </c>
      <c r="P84" s="84" cm="1">
        <f t="array" ref="P84">(IFERROR(
    IF(
        OR(
            INDEX('Data input'!$D:$D, MATCH((A84+B84)/2, 'Data input'!$C$39:$C$117, -1)+36)&lt;&gt;"CLAY",
            INDEX('Data input'!$E:$E, MATCH((A84+B84)/2, 'Data input'!$C$39:$C$117, -1)+36)=0
        ),
        0,
        INDEX('Data input'!$E:$E, MATCH((A84+B84)/2, 'Data input'!$C$39:$C$117, -1)+36)
        +
        (
            (INDEX('Data input'!$F:$F, MATCH((A84+B84)/2, 'Data input'!$C$39:$C$117, -1)+36)
            -
            INDEX('Data input'!$E:$E, MATCH((A84+B84)/2, 'Data input'!$C$39:$C$117, -1)+36))
            /
            (INDEX('Data input'!$C:$C, MATCH((A84+B84)/2, 'Data input'!$C$39:$C$117, -1)+36)
            -
            IF(
                MATCH((A84+B84)/2, 'Data input'!$C$39:$C$117, -1)+36=41,
                -1000,
                INDEX('Data input'!$C:$C, MATCH((A84+B84)/2, 'Data input'!$C$39:$C$117, -1)+37)
            ))
        )
        *
        (INDEX('Data input'!$C:$C, MATCH((A84+B84)/2, 'Data input'!$C$39:$C$117, -1)+36) - (A84+B84)/2)
    ),
    ""
))/gammacu</f>
        <v>0</v>
      </c>
      <c r="Q84" s="84" cm="1">
        <f t="array" ref="Q84">(IFERROR(
    IF(
        OR(
            INDEX('Data input'!$D:$D, MATCH(B84+0.00001, 'Data input'!$C$39:$C$117, -1)+36)&lt;&gt;"CLAY",
            INDEX('Data input'!$E:$E, MATCH(B84+0.00001, 'Data input'!$C$39:$C$117, -1)+36)=0
        ),
        0,
        INDEX('Data input'!$E:$E, MATCH(B84+0.00001, 'Data input'!$C$39:$C$117, -1)+36)
        +
        (
            (INDEX('Data input'!$F:$F, MATCH(B84+0.00001, 'Data input'!$C$39:$C$117, -1)+36)
            -
            INDEX('Data input'!$E:$E, MATCH(B84+0.00001, 'Data input'!$C$39:$C$117, -1)+36))
            /
            (INDEX('Data input'!$C:$C, MATCH(B84+0.00001, 'Data input'!$C$39:$C$117, -1)+36)
            -
            IF(
                MATCH(B84+0.00001, 'Data input'!$C$39:$C$117, -1)+36=41,
                -1000,
                INDEX('Data input'!$C:$C, MATCH(B84+0.00001, 'Data input'!$C$39:$C$117, -1)+37)
            ))
        )
        *
        (INDEX('Data input'!$C:$C, MATCH(B84+0.00001, 'Data input'!$C$39:$C$117, -1)+36) - B84)
    ),
    ""
))/gammacu</f>
        <v>0</v>
      </c>
      <c r="R84" s="84">
        <f t="shared" si="5"/>
        <v>1</v>
      </c>
      <c r="S84" s="84">
        <f t="shared" si="6"/>
        <v>9</v>
      </c>
      <c r="T84" s="84">
        <f t="shared" si="7"/>
        <v>3.9666769982864638</v>
      </c>
      <c r="U84" s="84">
        <f t="shared" si="8"/>
        <v>0</v>
      </c>
      <c r="V84" s="84">
        <f t="shared" si="9"/>
        <v>0</v>
      </c>
      <c r="W84" s="84">
        <f t="shared" si="10"/>
        <v>0</v>
      </c>
      <c r="X84" s="84">
        <f t="shared" si="11"/>
        <v>0</v>
      </c>
      <c r="Y84" s="84">
        <f t="shared" si="12"/>
        <v>0</v>
      </c>
      <c r="Z84" s="84">
        <f t="shared" si="13"/>
        <v>0</v>
      </c>
      <c r="AA84" s="84">
        <f t="shared" si="14"/>
        <v>298.5769657971739</v>
      </c>
      <c r="AB84" s="84">
        <f t="shared" si="15"/>
        <v>19.030805833686102</v>
      </c>
      <c r="AC84" s="84">
        <f t="shared" si="16"/>
        <v>12.75063990856969</v>
      </c>
      <c r="AD84" s="84">
        <f t="shared" si="17"/>
        <v>357.35793077562755</v>
      </c>
      <c r="AE84" s="84">
        <f t="shared" si="18"/>
        <v>413.38467518167118</v>
      </c>
      <c r="AF84" s="84">
        <f t="shared" si="19"/>
        <v>404.16229800963407</v>
      </c>
      <c r="AG84" s="84">
        <f t="shared" si="20"/>
        <v>328.96648370502055</v>
      </c>
      <c r="AH84" s="84">
        <f t="shared" si="21"/>
        <v>575.54469816889377</v>
      </c>
    </row>
    <row r="85" spans="1:34" ht="14.1" customHeight="1" x14ac:dyDescent="0.2">
      <c r="A85" s="84">
        <f t="shared" si="26"/>
        <v>-8</v>
      </c>
      <c r="B85" s="84">
        <f t="shared" si="22"/>
        <v>-9</v>
      </c>
      <c r="C85" s="84">
        <f t="shared" si="0"/>
        <v>515.72385001330053</v>
      </c>
      <c r="D85" s="41" t="str">
        <f>INDEX('Data input'!D:D, MATCH(A85, 'Data input'!C:C, -1))</f>
        <v>CLAY</v>
      </c>
      <c r="E85" s="84">
        <f>INDEX('Data input'!H:H, MATCH(A85, 'Data input'!C:C, -1))/gammagamma</f>
        <v>18</v>
      </c>
      <c r="F85" s="91">
        <f>INDEX('Data input'!G:G, MATCH(A85, 'Data input'!C:C, -1))/gammaPhi</f>
        <v>17.600000000000001</v>
      </c>
      <c r="G85" s="84">
        <f t="shared" si="1"/>
        <v>132.435</v>
      </c>
      <c r="H85" s="84">
        <f t="shared" si="2"/>
        <v>137.34</v>
      </c>
      <c r="I85" s="84">
        <f t="shared" si="3"/>
        <v>226.62</v>
      </c>
      <c r="J85" s="84">
        <f t="shared" si="4"/>
        <v>235.62</v>
      </c>
      <c r="K85" s="84">
        <f t="shared" si="23"/>
        <v>94.185000000000002</v>
      </c>
      <c r="L85" s="84">
        <f t="shared" si="23"/>
        <v>98.28</v>
      </c>
      <c r="M85" s="91">
        <f t="shared" si="24"/>
        <v>17.600000000000001</v>
      </c>
      <c r="N85" s="84">
        <f>IF(ISNUMBER(INDEX('Data input'!I:I, MATCH(A85, 'Data input'!C:C, -1))),INDEX('Data input'!I:I, MATCH(A85, 'Data input'!C:C, -1)),1-SIN(RADIANS(F85)))</f>
        <v>0.69763010924955549</v>
      </c>
      <c r="O85" s="84">
        <f t="shared" si="25"/>
        <v>0.22130130628159894</v>
      </c>
      <c r="P85" s="84" cm="1">
        <f t="array" ref="P85">(IFERROR(
    IF(
        OR(
            INDEX('Data input'!$D:$D, MATCH((A85+B85)/2, 'Data input'!$C$39:$C$117, -1)+36)&lt;&gt;"CLAY",
            INDEX('Data input'!$E:$E, MATCH((A85+B85)/2, 'Data input'!$C$39:$C$117, -1)+36)=0
        ),
        0,
        INDEX('Data input'!$E:$E, MATCH((A85+B85)/2, 'Data input'!$C$39:$C$117, -1)+36)
        +
        (
            (INDEX('Data input'!$F:$F, MATCH((A85+B85)/2, 'Data input'!$C$39:$C$117, -1)+36)
            -
            INDEX('Data input'!$E:$E, MATCH((A85+B85)/2, 'Data input'!$C$39:$C$117, -1)+36))
            /
            (INDEX('Data input'!$C:$C, MATCH((A85+B85)/2, 'Data input'!$C$39:$C$117, -1)+36)
            -
            IF(
                MATCH((A85+B85)/2, 'Data input'!$C$39:$C$117, -1)+36=41,
                -1000,
                INDEX('Data input'!$C:$C, MATCH((A85+B85)/2, 'Data input'!$C$39:$C$117, -1)+37)
            ))
        )
        *
        (INDEX('Data input'!$C:$C, MATCH((A85+B85)/2, 'Data input'!$C$39:$C$117, -1)+36) - (A85+B85)/2)
    ),
    ""
))/gammacu</f>
        <v>0</v>
      </c>
      <c r="Q85" s="84" cm="1">
        <f t="array" ref="Q85">(IFERROR(
    IF(
        OR(
            INDEX('Data input'!$D:$D, MATCH(B85+0.00001, 'Data input'!$C$39:$C$117, -1)+36)&lt;&gt;"CLAY",
            INDEX('Data input'!$E:$E, MATCH(B85+0.00001, 'Data input'!$C$39:$C$117, -1)+36)=0
        ),
        0,
        INDEX('Data input'!$E:$E, MATCH(B85+0.00001, 'Data input'!$C$39:$C$117, -1)+36)
        +
        (
            (INDEX('Data input'!$F:$F, MATCH(B85+0.00001, 'Data input'!$C$39:$C$117, -1)+36)
            -
            INDEX('Data input'!$E:$E, MATCH(B85+0.00001, 'Data input'!$C$39:$C$117, -1)+36))
            /
            (INDEX('Data input'!$C:$C, MATCH(B85+0.00001, 'Data input'!$C$39:$C$117, -1)+36)
            -
            IF(
                MATCH(B85+0.00001, 'Data input'!$C$39:$C$117, -1)+36=41,
                -1000,
                INDEX('Data input'!$C:$C, MATCH(B85+0.00001, 'Data input'!$C$39:$C$117, -1)+37)
            ))
        )
        *
        (INDEX('Data input'!$C:$C, MATCH(B85+0.00001, 'Data input'!$C$39:$C$117, -1)+36) - B85)
    ),
    ""
))/gammacu</f>
        <v>0</v>
      </c>
      <c r="R85" s="84">
        <f t="shared" si="5"/>
        <v>1</v>
      </c>
      <c r="S85" s="84">
        <f t="shared" si="6"/>
        <v>9</v>
      </c>
      <c r="T85" s="84">
        <f t="shared" si="7"/>
        <v>3.9666769982864638</v>
      </c>
      <c r="U85" s="84">
        <f t="shared" si="8"/>
        <v>0</v>
      </c>
      <c r="V85" s="84">
        <f t="shared" si="9"/>
        <v>0</v>
      </c>
      <c r="W85" s="84">
        <f t="shared" si="10"/>
        <v>0</v>
      </c>
      <c r="X85" s="84">
        <f t="shared" si="11"/>
        <v>0</v>
      </c>
      <c r="Y85" s="84">
        <f t="shared" si="12"/>
        <v>0</v>
      </c>
      <c r="Z85" s="84">
        <f t="shared" si="13"/>
        <v>0</v>
      </c>
      <c r="AA85" s="84">
        <f t="shared" si="14"/>
        <v>325.72032632418973</v>
      </c>
      <c r="AB85" s="84">
        <f t="shared" si="15"/>
        <v>20.843263532132397</v>
      </c>
      <c r="AC85" s="84">
        <f t="shared" si="16"/>
        <v>13.964986566528706</v>
      </c>
      <c r="AD85" s="84">
        <f t="shared" si="17"/>
        <v>389.84501539159368</v>
      </c>
      <c r="AE85" s="84">
        <f t="shared" si="18"/>
        <v>491.961927488931</v>
      </c>
      <c r="AF85" s="84">
        <f t="shared" si="19"/>
        <v>440.90432510141898</v>
      </c>
      <c r="AG85" s="84">
        <f t="shared" si="20"/>
        <v>417.14240257704944</v>
      </c>
      <c r="AH85" s="84">
        <f t="shared" si="21"/>
        <v>655.33481774177369</v>
      </c>
    </row>
    <row r="86" spans="1:34" ht="14.1" customHeight="1" x14ac:dyDescent="0.2">
      <c r="A86" s="84">
        <f t="shared" si="26"/>
        <v>-9</v>
      </c>
      <c r="B86" s="84">
        <f t="shared" si="22"/>
        <v>-10</v>
      </c>
      <c r="C86" s="84">
        <f t="shared" si="0"/>
        <v>542.86721054031636</v>
      </c>
      <c r="D86" s="41" t="str">
        <f>INDEX('Data input'!D:D, MATCH(A86, 'Data input'!C:C, -1))</f>
        <v>CLAY</v>
      </c>
      <c r="E86" s="84">
        <f>INDEX('Data input'!H:H, MATCH(A86, 'Data input'!C:C, -1))/gammagamma</f>
        <v>18</v>
      </c>
      <c r="F86" s="91">
        <f>INDEX('Data input'!G:G, MATCH(A86, 'Data input'!C:C, -1))/gammaPhi</f>
        <v>17.600000000000001</v>
      </c>
      <c r="G86" s="84">
        <f t="shared" si="1"/>
        <v>142.245</v>
      </c>
      <c r="H86" s="84">
        <f t="shared" si="2"/>
        <v>147.15</v>
      </c>
      <c r="I86" s="84">
        <f t="shared" si="3"/>
        <v>244.62</v>
      </c>
      <c r="J86" s="84">
        <f t="shared" si="4"/>
        <v>253.62</v>
      </c>
      <c r="K86" s="84">
        <f t="shared" si="23"/>
        <v>102.375</v>
      </c>
      <c r="L86" s="84">
        <f t="shared" si="23"/>
        <v>106.47</v>
      </c>
      <c r="M86" s="91">
        <f t="shared" si="24"/>
        <v>17.600000000000001</v>
      </c>
      <c r="N86" s="84">
        <f>IF(ISNUMBER(INDEX('Data input'!I:I, MATCH(A86, 'Data input'!C:C, -1))),INDEX('Data input'!I:I, MATCH(A86, 'Data input'!C:C, -1)),1-SIN(RADIANS(F86)))</f>
        <v>0.69763010924955549</v>
      </c>
      <c r="O86" s="84">
        <f t="shared" si="25"/>
        <v>0.22130130628159894</v>
      </c>
      <c r="P86" s="84" cm="1">
        <f t="array" ref="P86">(IFERROR(
    IF(
        OR(
            INDEX('Data input'!$D:$D, MATCH((A86+B86)/2, 'Data input'!$C$39:$C$117, -1)+36)&lt;&gt;"CLAY",
            INDEX('Data input'!$E:$E, MATCH((A86+B86)/2, 'Data input'!$C$39:$C$117, -1)+36)=0
        ),
        0,
        INDEX('Data input'!$E:$E, MATCH((A86+B86)/2, 'Data input'!$C$39:$C$117, -1)+36)
        +
        (
            (INDEX('Data input'!$F:$F, MATCH((A86+B86)/2, 'Data input'!$C$39:$C$117, -1)+36)
            -
            INDEX('Data input'!$E:$E, MATCH((A86+B86)/2, 'Data input'!$C$39:$C$117, -1)+36))
            /
            (INDEX('Data input'!$C:$C, MATCH((A86+B86)/2, 'Data input'!$C$39:$C$117, -1)+36)
            -
            IF(
                MATCH((A86+B86)/2, 'Data input'!$C$39:$C$117, -1)+36=41,
                -1000,
                INDEX('Data input'!$C:$C, MATCH((A86+B86)/2, 'Data input'!$C$39:$C$117, -1)+37)
            ))
        )
        *
        (INDEX('Data input'!$C:$C, MATCH((A86+B86)/2, 'Data input'!$C$39:$C$117, -1)+36) - (A86+B86)/2)
    ),
    ""
))/gammacu</f>
        <v>0</v>
      </c>
      <c r="Q86" s="84" cm="1">
        <f t="array" ref="Q86">(IFERROR(
    IF(
        OR(
            INDEX('Data input'!$D:$D, MATCH(B86+0.00001, 'Data input'!$C$39:$C$117, -1)+36)&lt;&gt;"CLAY",
            INDEX('Data input'!$E:$E, MATCH(B86+0.00001, 'Data input'!$C$39:$C$117, -1)+36)=0
        ),
        0,
        INDEX('Data input'!$E:$E, MATCH(B86+0.00001, 'Data input'!$C$39:$C$117, -1)+36)
        +
        (
            (INDEX('Data input'!$F:$F, MATCH(B86+0.00001, 'Data input'!$C$39:$C$117, -1)+36)
            -
            INDEX('Data input'!$E:$E, MATCH(B86+0.00001, 'Data input'!$C$39:$C$117, -1)+36))
            /
            (INDEX('Data input'!$C:$C, MATCH(B86+0.00001, 'Data input'!$C$39:$C$117, -1)+36)
            -
            IF(
                MATCH(B86+0.00001, 'Data input'!$C$39:$C$117, -1)+36=41,
                -1000,
                INDEX('Data input'!$C:$C, MATCH(B86+0.00001, 'Data input'!$C$39:$C$117, -1)+37)
            ))
        )
        *
        (INDEX('Data input'!$C:$C, MATCH(B86+0.00001, 'Data input'!$C$39:$C$117, -1)+36) - B86)
    ),
    ""
))/gammacu</f>
        <v>0</v>
      </c>
      <c r="R86" s="84">
        <f t="shared" si="5"/>
        <v>1</v>
      </c>
      <c r="S86" s="84">
        <f t="shared" si="6"/>
        <v>9</v>
      </c>
      <c r="T86" s="84">
        <f t="shared" si="7"/>
        <v>3.9666769982864638</v>
      </c>
      <c r="U86" s="84">
        <f t="shared" si="8"/>
        <v>0</v>
      </c>
      <c r="V86" s="84">
        <f t="shared" si="9"/>
        <v>0</v>
      </c>
      <c r="W86" s="84">
        <f t="shared" si="10"/>
        <v>0</v>
      </c>
      <c r="X86" s="84">
        <f t="shared" si="11"/>
        <v>0</v>
      </c>
      <c r="Y86" s="84">
        <f t="shared" si="12"/>
        <v>0</v>
      </c>
      <c r="Z86" s="84">
        <f t="shared" si="13"/>
        <v>0</v>
      </c>
      <c r="AA86" s="84">
        <f t="shared" si="14"/>
        <v>352.86368685120556</v>
      </c>
      <c r="AB86" s="84">
        <f t="shared" si="15"/>
        <v>22.655721230578692</v>
      </c>
      <c r="AC86" s="84">
        <f t="shared" si="16"/>
        <v>15.179333224487724</v>
      </c>
      <c r="AD86" s="84">
        <f t="shared" si="17"/>
        <v>422.3321000075598</v>
      </c>
      <c r="AE86" s="84">
        <f t="shared" si="18"/>
        <v>577.37198434464813</v>
      </c>
      <c r="AF86" s="84">
        <f t="shared" si="19"/>
        <v>477.64635219320382</v>
      </c>
      <c r="AG86" s="84">
        <f t="shared" si="20"/>
        <v>512.1511259975357</v>
      </c>
      <c r="AH86" s="84">
        <f t="shared" si="21"/>
        <v>739.70291636212005</v>
      </c>
    </row>
    <row r="87" spans="1:34" ht="14.1" customHeight="1" x14ac:dyDescent="0.2">
      <c r="A87" s="84">
        <f t="shared" si="26"/>
        <v>-10</v>
      </c>
      <c r="B87" s="84">
        <f t="shared" si="22"/>
        <v>-11</v>
      </c>
      <c r="C87" s="84">
        <f t="shared" si="0"/>
        <v>570.01057106733219</v>
      </c>
      <c r="D87" s="41" t="str">
        <f>INDEX('Data input'!D:D, MATCH(A87, 'Data input'!C:C, -1))</f>
        <v>CLAY</v>
      </c>
      <c r="E87" s="84">
        <f>INDEX('Data input'!H:H, MATCH(A87, 'Data input'!C:C, -1))/gammagamma</f>
        <v>20</v>
      </c>
      <c r="F87" s="91">
        <f>INDEX('Data input'!G:G, MATCH(A87, 'Data input'!C:C, -1))/gammaPhi</f>
        <v>19.2</v>
      </c>
      <c r="G87" s="84">
        <f t="shared" si="1"/>
        <v>152.05500000000001</v>
      </c>
      <c r="H87" s="84">
        <f t="shared" si="2"/>
        <v>156.96</v>
      </c>
      <c r="I87" s="84">
        <f t="shared" si="3"/>
        <v>263.62</v>
      </c>
      <c r="J87" s="84">
        <f t="shared" si="4"/>
        <v>273.62</v>
      </c>
      <c r="K87" s="84">
        <f t="shared" si="23"/>
        <v>111.565</v>
      </c>
      <c r="L87" s="84">
        <f t="shared" si="23"/>
        <v>116.66</v>
      </c>
      <c r="M87" s="91">
        <f t="shared" si="24"/>
        <v>19.2</v>
      </c>
      <c r="N87" s="84">
        <f>IF(ISNUMBER(INDEX('Data input'!I:I, MATCH(A87, 'Data input'!C:C, -1))),INDEX('Data input'!I:I, MATCH(A87, 'Data input'!C:C, -1)),1-SIN(RADIANS(F87)))</f>
        <v>0.67113335326141677</v>
      </c>
      <c r="O87" s="84">
        <f t="shared" si="25"/>
        <v>0.2337133608563296</v>
      </c>
      <c r="P87" s="84" cm="1">
        <f t="array" ref="P87">(IFERROR(
    IF(
        OR(
            INDEX('Data input'!$D:$D, MATCH((A87+B87)/2, 'Data input'!$C$39:$C$117, -1)+36)&lt;&gt;"CLAY",
            INDEX('Data input'!$E:$E, MATCH((A87+B87)/2, 'Data input'!$C$39:$C$117, -1)+36)=0
        ),
        0,
        INDEX('Data input'!$E:$E, MATCH((A87+B87)/2, 'Data input'!$C$39:$C$117, -1)+36)
        +
        (
            (INDEX('Data input'!$F:$F, MATCH((A87+B87)/2, 'Data input'!$C$39:$C$117, -1)+36)
            -
            INDEX('Data input'!$E:$E, MATCH((A87+B87)/2, 'Data input'!$C$39:$C$117, -1)+36))
            /
            (INDEX('Data input'!$C:$C, MATCH((A87+B87)/2, 'Data input'!$C$39:$C$117, -1)+36)
            -
            IF(
                MATCH((A87+B87)/2, 'Data input'!$C$39:$C$117, -1)+36=41,
                -1000,
                INDEX('Data input'!$C:$C, MATCH((A87+B87)/2, 'Data input'!$C$39:$C$117, -1)+37)
            ))
        )
        *
        (INDEX('Data input'!$C:$C, MATCH((A87+B87)/2, 'Data input'!$C$39:$C$117, -1)+36) - (A87+B87)/2)
    ),
    ""
))/gammacu</f>
        <v>0</v>
      </c>
      <c r="Q87" s="84" cm="1">
        <f t="array" ref="Q87">(IFERROR(
    IF(
        OR(
            INDEX('Data input'!$D:$D, MATCH(B87+0.00001, 'Data input'!$C$39:$C$117, -1)+36)&lt;&gt;"CLAY",
            INDEX('Data input'!$E:$E, MATCH(B87+0.00001, 'Data input'!$C$39:$C$117, -1)+36)=0
        ),
        0,
        INDEX('Data input'!$E:$E, MATCH(B87+0.00001, 'Data input'!$C$39:$C$117, -1)+36)
        +
        (
            (INDEX('Data input'!$F:$F, MATCH(B87+0.00001, 'Data input'!$C$39:$C$117, -1)+36)
            -
            INDEX('Data input'!$E:$E, MATCH(B87+0.00001, 'Data input'!$C$39:$C$117, -1)+36))
            /
            (INDEX('Data input'!$C:$C, MATCH(B87+0.00001, 'Data input'!$C$39:$C$117, -1)+36)
            -
            IF(
                MATCH(B87+0.00001, 'Data input'!$C$39:$C$117, -1)+36=41,
                -1000,
                INDEX('Data input'!$C:$C, MATCH(B87+0.00001, 'Data input'!$C$39:$C$117, -1)+37)
            ))
        )
        *
        (INDEX('Data input'!$C:$C, MATCH(B87+0.00001, 'Data input'!$C$39:$C$117, -1)+36) - B87)
    ),
    ""
))/gammacu</f>
        <v>0</v>
      </c>
      <c r="R87" s="84">
        <f t="shared" si="5"/>
        <v>1</v>
      </c>
      <c r="S87" s="84">
        <f t="shared" si="6"/>
        <v>9</v>
      </c>
      <c r="T87" s="84">
        <f t="shared" si="7"/>
        <v>5.2652504644822562</v>
      </c>
      <c r="U87" s="84">
        <f t="shared" si="8"/>
        <v>0</v>
      </c>
      <c r="V87" s="84">
        <f t="shared" si="9"/>
        <v>0</v>
      </c>
      <c r="W87" s="84">
        <f t="shared" si="10"/>
        <v>0</v>
      </c>
      <c r="X87" s="84">
        <f t="shared" si="11"/>
        <v>0</v>
      </c>
      <c r="Y87" s="84">
        <f t="shared" si="12"/>
        <v>0</v>
      </c>
      <c r="Z87" s="84">
        <f t="shared" si="13"/>
        <v>0</v>
      </c>
      <c r="AA87" s="84">
        <f t="shared" si="14"/>
        <v>380.00704737822139</v>
      </c>
      <c r="AB87" s="84">
        <f t="shared" si="15"/>
        <v>26.074231103936413</v>
      </c>
      <c r="AC87" s="84">
        <f t="shared" si="16"/>
        <v>17.469734839637397</v>
      </c>
      <c r="AD87" s="84">
        <f t="shared" si="17"/>
        <v>614.24411918650003</v>
      </c>
      <c r="AE87" s="84">
        <f t="shared" si="18"/>
        <v>675.66951980560304</v>
      </c>
      <c r="AF87" s="84">
        <f t="shared" si="19"/>
        <v>694.69373244493499</v>
      </c>
      <c r="AG87" s="84">
        <f t="shared" si="20"/>
        <v>800.35268118320596</v>
      </c>
      <c r="AH87" s="84">
        <f t="shared" si="21"/>
        <v>832.70562564797569</v>
      </c>
    </row>
    <row r="88" spans="1:34" ht="14.1" customHeight="1" x14ac:dyDescent="0.2">
      <c r="A88" s="84">
        <f t="shared" si="26"/>
        <v>-11</v>
      </c>
      <c r="B88" s="84">
        <f t="shared" si="22"/>
        <v>-12</v>
      </c>
      <c r="C88" s="84">
        <f t="shared" si="0"/>
        <v>597.15393159434802</v>
      </c>
      <c r="D88" s="41" t="str">
        <f>INDEX('Data input'!D:D, MATCH(A88, 'Data input'!C:C, -1))</f>
        <v>CLAY</v>
      </c>
      <c r="E88" s="84">
        <f>INDEX('Data input'!H:H, MATCH(A88, 'Data input'!C:C, -1))/gammagamma</f>
        <v>20</v>
      </c>
      <c r="F88" s="91">
        <f>INDEX('Data input'!G:G, MATCH(A88, 'Data input'!C:C, -1))/gammaPhi</f>
        <v>19.2</v>
      </c>
      <c r="G88" s="84">
        <f t="shared" si="1"/>
        <v>161.86500000000001</v>
      </c>
      <c r="H88" s="84">
        <f t="shared" si="2"/>
        <v>166.77</v>
      </c>
      <c r="I88" s="84">
        <f t="shared" si="3"/>
        <v>283.62</v>
      </c>
      <c r="J88" s="84">
        <f t="shared" si="4"/>
        <v>293.62</v>
      </c>
      <c r="K88" s="84">
        <f t="shared" si="23"/>
        <v>121.755</v>
      </c>
      <c r="L88" s="84">
        <f t="shared" si="23"/>
        <v>126.85</v>
      </c>
      <c r="M88" s="91">
        <f t="shared" si="24"/>
        <v>19.2</v>
      </c>
      <c r="N88" s="84">
        <f>IF(ISNUMBER(INDEX('Data input'!I:I, MATCH(A88, 'Data input'!C:C, -1))),INDEX('Data input'!I:I, MATCH(A88, 'Data input'!C:C, -1)),1-SIN(RADIANS(F88)))</f>
        <v>0.67113335326141677</v>
      </c>
      <c r="O88" s="84">
        <f t="shared" si="25"/>
        <v>0.2337133608563296</v>
      </c>
      <c r="P88" s="84" cm="1">
        <f t="array" ref="P88">(IFERROR(
    IF(
        OR(
            INDEX('Data input'!$D:$D, MATCH((A88+B88)/2, 'Data input'!$C$39:$C$117, -1)+36)&lt;&gt;"CLAY",
            INDEX('Data input'!$E:$E, MATCH((A88+B88)/2, 'Data input'!$C$39:$C$117, -1)+36)=0
        ),
        0,
        INDEX('Data input'!$E:$E, MATCH((A88+B88)/2, 'Data input'!$C$39:$C$117, -1)+36)
        +
        (
            (INDEX('Data input'!$F:$F, MATCH((A88+B88)/2, 'Data input'!$C$39:$C$117, -1)+36)
            -
            INDEX('Data input'!$E:$E, MATCH((A88+B88)/2, 'Data input'!$C$39:$C$117, -1)+36))
            /
            (INDEX('Data input'!$C:$C, MATCH((A88+B88)/2, 'Data input'!$C$39:$C$117, -1)+36)
            -
            IF(
                MATCH((A88+B88)/2, 'Data input'!$C$39:$C$117, -1)+36=41,
                -1000,
                INDEX('Data input'!$C:$C, MATCH((A88+B88)/2, 'Data input'!$C$39:$C$117, -1)+37)
            ))
        )
        *
        (INDEX('Data input'!$C:$C, MATCH((A88+B88)/2, 'Data input'!$C$39:$C$117, -1)+36) - (A88+B88)/2)
    ),
    ""
))/gammacu</f>
        <v>0</v>
      </c>
      <c r="Q88" s="84" cm="1">
        <f t="array" ref="Q88">(IFERROR(
    IF(
        OR(
            INDEX('Data input'!$D:$D, MATCH(B88+0.00001, 'Data input'!$C$39:$C$117, -1)+36)&lt;&gt;"CLAY",
            INDEX('Data input'!$E:$E, MATCH(B88+0.00001, 'Data input'!$C$39:$C$117, -1)+36)=0
        ),
        0,
        INDEX('Data input'!$E:$E, MATCH(B88+0.00001, 'Data input'!$C$39:$C$117, -1)+36)
        +
        (
            (INDEX('Data input'!$F:$F, MATCH(B88+0.00001, 'Data input'!$C$39:$C$117, -1)+36)
            -
            INDEX('Data input'!$E:$E, MATCH(B88+0.00001, 'Data input'!$C$39:$C$117, -1)+36))
            /
            (INDEX('Data input'!$C:$C, MATCH(B88+0.00001, 'Data input'!$C$39:$C$117, -1)+36)
            -
            IF(
                MATCH(B88+0.00001, 'Data input'!$C$39:$C$117, -1)+36=41,
                -1000,
                INDEX('Data input'!$C:$C, MATCH(B88+0.00001, 'Data input'!$C$39:$C$117, -1)+37)
            ))
        )
        *
        (INDEX('Data input'!$C:$C, MATCH(B88+0.00001, 'Data input'!$C$39:$C$117, -1)+36) - B88)
    ),
    ""
))/gammacu</f>
        <v>0</v>
      </c>
      <c r="R88" s="84">
        <f t="shared" si="5"/>
        <v>1</v>
      </c>
      <c r="S88" s="84">
        <f t="shared" si="6"/>
        <v>9</v>
      </c>
      <c r="T88" s="84">
        <f t="shared" si="7"/>
        <v>5.2652504644822562</v>
      </c>
      <c r="U88" s="84">
        <f t="shared" si="8"/>
        <v>0</v>
      </c>
      <c r="V88" s="84">
        <f t="shared" si="9"/>
        <v>0</v>
      </c>
      <c r="W88" s="84">
        <f t="shared" si="10"/>
        <v>0</v>
      </c>
      <c r="X88" s="84">
        <f t="shared" si="11"/>
        <v>0</v>
      </c>
      <c r="Y88" s="84">
        <f t="shared" si="12"/>
        <v>0</v>
      </c>
      <c r="Z88" s="84">
        <f t="shared" si="13"/>
        <v>0</v>
      </c>
      <c r="AA88" s="84">
        <f t="shared" si="14"/>
        <v>407.15040790523722</v>
      </c>
      <c r="AB88" s="84">
        <f t="shared" si="15"/>
        <v>28.455770251062411</v>
      </c>
      <c r="AC88" s="84">
        <f t="shared" si="16"/>
        <v>19.065366068211816</v>
      </c>
      <c r="AD88" s="84">
        <f t="shared" si="17"/>
        <v>667.89702141957412</v>
      </c>
      <c r="AE88" s="84">
        <f t="shared" si="18"/>
        <v>782.94524633317508</v>
      </c>
      <c r="AF88" s="84">
        <f t="shared" si="19"/>
        <v>755.37373530464595</v>
      </c>
      <c r="AG88" s="84">
        <f t="shared" si="20"/>
        <v>941.165050043473</v>
      </c>
      <c r="AH88" s="84">
        <f t="shared" si="21"/>
        <v>931.7237229484648</v>
      </c>
    </row>
    <row r="89" spans="1:34" ht="14.1" customHeight="1" x14ac:dyDescent="0.2">
      <c r="A89" s="84">
        <f t="shared" si="26"/>
        <v>-12</v>
      </c>
      <c r="B89" s="84">
        <f t="shared" si="22"/>
        <v>-13</v>
      </c>
      <c r="C89" s="84">
        <f t="shared" si="0"/>
        <v>624.29729212136385</v>
      </c>
      <c r="D89" s="41" t="str">
        <f>INDEX('Data input'!D:D, MATCH(A89, 'Data input'!C:C, -1))</f>
        <v>CLAY</v>
      </c>
      <c r="E89" s="84">
        <f>INDEX('Data input'!H:H, MATCH(A89, 'Data input'!C:C, -1))/gammagamma</f>
        <v>20</v>
      </c>
      <c r="F89" s="91">
        <f>INDEX('Data input'!G:G, MATCH(A89, 'Data input'!C:C, -1))/gammaPhi</f>
        <v>19.2</v>
      </c>
      <c r="G89" s="84">
        <f t="shared" si="1"/>
        <v>171.67500000000001</v>
      </c>
      <c r="H89" s="84">
        <f t="shared" si="2"/>
        <v>176.58</v>
      </c>
      <c r="I89" s="84">
        <f t="shared" si="3"/>
        <v>303.62</v>
      </c>
      <c r="J89" s="84">
        <f t="shared" si="4"/>
        <v>313.62</v>
      </c>
      <c r="K89" s="84">
        <f t="shared" si="23"/>
        <v>131.94499999999999</v>
      </c>
      <c r="L89" s="84">
        <f t="shared" si="23"/>
        <v>137.04</v>
      </c>
      <c r="M89" s="91">
        <f t="shared" si="24"/>
        <v>19.2</v>
      </c>
      <c r="N89" s="84">
        <f>IF(ISNUMBER(INDEX('Data input'!I:I, MATCH(A89, 'Data input'!C:C, -1))),INDEX('Data input'!I:I, MATCH(A89, 'Data input'!C:C, -1)),1-SIN(RADIANS(F89)))</f>
        <v>0.67113335326141677</v>
      </c>
      <c r="O89" s="84">
        <f t="shared" si="25"/>
        <v>0.2337133608563296</v>
      </c>
      <c r="P89" s="84" cm="1">
        <f t="array" ref="P89">(IFERROR(
    IF(
        OR(
            INDEX('Data input'!$D:$D, MATCH((A89+B89)/2, 'Data input'!$C$39:$C$117, -1)+36)&lt;&gt;"CLAY",
            INDEX('Data input'!$E:$E, MATCH((A89+B89)/2, 'Data input'!$C$39:$C$117, -1)+36)=0
        ),
        0,
        INDEX('Data input'!$E:$E, MATCH((A89+B89)/2, 'Data input'!$C$39:$C$117, -1)+36)
        +
        (
            (INDEX('Data input'!$F:$F, MATCH((A89+B89)/2, 'Data input'!$C$39:$C$117, -1)+36)
            -
            INDEX('Data input'!$E:$E, MATCH((A89+B89)/2, 'Data input'!$C$39:$C$117, -1)+36))
            /
            (INDEX('Data input'!$C:$C, MATCH((A89+B89)/2, 'Data input'!$C$39:$C$117, -1)+36)
            -
            IF(
                MATCH((A89+B89)/2, 'Data input'!$C$39:$C$117, -1)+36=41,
                -1000,
                INDEX('Data input'!$C:$C, MATCH((A89+B89)/2, 'Data input'!$C$39:$C$117, -1)+37)
            ))
        )
        *
        (INDEX('Data input'!$C:$C, MATCH((A89+B89)/2, 'Data input'!$C$39:$C$117, -1)+36) - (A89+B89)/2)
    ),
    ""
))/gammacu</f>
        <v>0</v>
      </c>
      <c r="Q89" s="84" cm="1">
        <f t="array" ref="Q89">(IFERROR(
    IF(
        OR(
            INDEX('Data input'!$D:$D, MATCH(B89+0.00001, 'Data input'!$C$39:$C$117, -1)+36)&lt;&gt;"CLAY",
            INDEX('Data input'!$E:$E, MATCH(B89+0.00001, 'Data input'!$C$39:$C$117, -1)+36)=0
        ),
        0,
        INDEX('Data input'!$E:$E, MATCH(B89+0.00001, 'Data input'!$C$39:$C$117, -1)+36)
        +
        (
            (INDEX('Data input'!$F:$F, MATCH(B89+0.00001, 'Data input'!$C$39:$C$117, -1)+36)
            -
            INDEX('Data input'!$E:$E, MATCH(B89+0.00001, 'Data input'!$C$39:$C$117, -1)+36))
            /
            (INDEX('Data input'!$C:$C, MATCH(B89+0.00001, 'Data input'!$C$39:$C$117, -1)+36)
            -
            IF(
                MATCH(B89+0.00001, 'Data input'!$C$39:$C$117, -1)+36=41,
                -1000,
                INDEX('Data input'!$C:$C, MATCH(B89+0.00001, 'Data input'!$C$39:$C$117, -1)+37)
            ))
        )
        *
        (INDEX('Data input'!$C:$C, MATCH(B89+0.00001, 'Data input'!$C$39:$C$117, -1)+36) - B89)
    ),
    ""
))/gammacu</f>
        <v>0</v>
      </c>
      <c r="R89" s="84">
        <f t="shared" si="5"/>
        <v>1</v>
      </c>
      <c r="S89" s="84">
        <f t="shared" si="6"/>
        <v>9</v>
      </c>
      <c r="T89" s="84">
        <f t="shared" si="7"/>
        <v>5.2652504644822562</v>
      </c>
      <c r="U89" s="84">
        <f t="shared" si="8"/>
        <v>0</v>
      </c>
      <c r="V89" s="84">
        <f t="shared" si="9"/>
        <v>0</v>
      </c>
      <c r="W89" s="84">
        <f t="shared" si="10"/>
        <v>0</v>
      </c>
      <c r="X89" s="84">
        <f t="shared" si="11"/>
        <v>0</v>
      </c>
      <c r="Y89" s="84">
        <f t="shared" si="12"/>
        <v>0</v>
      </c>
      <c r="Z89" s="84">
        <f t="shared" si="13"/>
        <v>0</v>
      </c>
      <c r="AA89" s="84">
        <f t="shared" si="14"/>
        <v>434.29376843225305</v>
      </c>
      <c r="AB89" s="84">
        <f t="shared" si="15"/>
        <v>30.837309398188406</v>
      </c>
      <c r="AC89" s="84">
        <f t="shared" si="16"/>
        <v>20.660997296786235</v>
      </c>
      <c r="AD89" s="84">
        <f t="shared" si="17"/>
        <v>721.54992365264832</v>
      </c>
      <c r="AE89" s="84">
        <f t="shared" si="18"/>
        <v>899.19916392736411</v>
      </c>
      <c r="AF89" s="84">
        <f t="shared" si="19"/>
        <v>816.05373816435701</v>
      </c>
      <c r="AG89" s="84">
        <f t="shared" si="20"/>
        <v>1090.9556099703573</v>
      </c>
      <c r="AH89" s="84">
        <f t="shared" si="21"/>
        <v>1036.7572082635872</v>
      </c>
    </row>
    <row r="90" spans="1:34" ht="14.1" customHeight="1" x14ac:dyDescent="0.2">
      <c r="A90" s="84">
        <f t="shared" si="26"/>
        <v>-13</v>
      </c>
      <c r="B90" s="84">
        <f t="shared" si="22"/>
        <v>-14</v>
      </c>
      <c r="C90" s="84">
        <f t="shared" si="0"/>
        <v>651.44065264837968</v>
      </c>
      <c r="D90" s="41" t="str">
        <f>INDEX('Data input'!D:D, MATCH(A90, 'Data input'!C:C, -1))</f>
        <v>CLAY</v>
      </c>
      <c r="E90" s="84">
        <f>INDEX('Data input'!H:H, MATCH(A90, 'Data input'!C:C, -1))/gammagamma</f>
        <v>20</v>
      </c>
      <c r="F90" s="91">
        <f>INDEX('Data input'!G:G, MATCH(A90, 'Data input'!C:C, -1))/gammaPhi</f>
        <v>19.2</v>
      </c>
      <c r="G90" s="84">
        <f t="shared" si="1"/>
        <v>181.48500000000001</v>
      </c>
      <c r="H90" s="84">
        <f t="shared" si="2"/>
        <v>186.39000000000001</v>
      </c>
      <c r="I90" s="84">
        <f t="shared" si="3"/>
        <v>323.62</v>
      </c>
      <c r="J90" s="84">
        <f t="shared" si="4"/>
        <v>333.62</v>
      </c>
      <c r="K90" s="84">
        <f t="shared" si="23"/>
        <v>142.13499999999999</v>
      </c>
      <c r="L90" s="84">
        <f t="shared" si="23"/>
        <v>147.22999999999999</v>
      </c>
      <c r="M90" s="91">
        <f t="shared" si="24"/>
        <v>19.2</v>
      </c>
      <c r="N90" s="84">
        <f>IF(ISNUMBER(INDEX('Data input'!I:I, MATCH(A90, 'Data input'!C:C, -1))),INDEX('Data input'!I:I, MATCH(A90, 'Data input'!C:C, -1)),1-SIN(RADIANS(F90)))</f>
        <v>0.67113335326141677</v>
      </c>
      <c r="O90" s="84">
        <f t="shared" si="25"/>
        <v>0.2337133608563296</v>
      </c>
      <c r="P90" s="84" cm="1">
        <f t="array" ref="P90">(IFERROR(
    IF(
        OR(
            INDEX('Data input'!$D:$D, MATCH((A90+B90)/2, 'Data input'!$C$39:$C$117, -1)+36)&lt;&gt;"CLAY",
            INDEX('Data input'!$E:$E, MATCH((A90+B90)/2, 'Data input'!$C$39:$C$117, -1)+36)=0
        ),
        0,
        INDEX('Data input'!$E:$E, MATCH((A90+B90)/2, 'Data input'!$C$39:$C$117, -1)+36)
        +
        (
            (INDEX('Data input'!$F:$F, MATCH((A90+B90)/2, 'Data input'!$C$39:$C$117, -1)+36)
            -
            INDEX('Data input'!$E:$E, MATCH((A90+B90)/2, 'Data input'!$C$39:$C$117, -1)+36))
            /
            (INDEX('Data input'!$C:$C, MATCH((A90+B90)/2, 'Data input'!$C$39:$C$117, -1)+36)
            -
            IF(
                MATCH((A90+B90)/2, 'Data input'!$C$39:$C$117, -1)+36=41,
                -1000,
                INDEX('Data input'!$C:$C, MATCH((A90+B90)/2, 'Data input'!$C$39:$C$117, -1)+37)
            ))
        )
        *
        (INDEX('Data input'!$C:$C, MATCH((A90+B90)/2, 'Data input'!$C$39:$C$117, -1)+36) - (A90+B90)/2)
    ),
    ""
))/gammacu</f>
        <v>0</v>
      </c>
      <c r="Q90" s="84" cm="1">
        <f t="array" ref="Q90">(IFERROR(
    IF(
        OR(
            INDEX('Data input'!$D:$D, MATCH(B90+0.00001, 'Data input'!$C$39:$C$117, -1)+36)&lt;&gt;"CLAY",
            INDEX('Data input'!$E:$E, MATCH(B90+0.00001, 'Data input'!$C$39:$C$117, -1)+36)=0
        ),
        0,
        INDEX('Data input'!$E:$E, MATCH(B90+0.00001, 'Data input'!$C$39:$C$117, -1)+36)
        +
        (
            (INDEX('Data input'!$F:$F, MATCH(B90+0.00001, 'Data input'!$C$39:$C$117, -1)+36)
            -
            INDEX('Data input'!$E:$E, MATCH(B90+0.00001, 'Data input'!$C$39:$C$117, -1)+36))
            /
            (INDEX('Data input'!$C:$C, MATCH(B90+0.00001, 'Data input'!$C$39:$C$117, -1)+36)
            -
            IF(
                MATCH(B90+0.00001, 'Data input'!$C$39:$C$117, -1)+36=41,
                -1000,
                INDEX('Data input'!$C:$C, MATCH(B90+0.00001, 'Data input'!$C$39:$C$117, -1)+37)
            ))
        )
        *
        (INDEX('Data input'!$C:$C, MATCH(B90+0.00001, 'Data input'!$C$39:$C$117, -1)+36) - B90)
    ),
    ""
))/gammacu</f>
        <v>0</v>
      </c>
      <c r="R90" s="84">
        <f t="shared" si="5"/>
        <v>1</v>
      </c>
      <c r="S90" s="84">
        <f t="shared" si="6"/>
        <v>9</v>
      </c>
      <c r="T90" s="84">
        <f t="shared" si="7"/>
        <v>5.2652504644822562</v>
      </c>
      <c r="U90" s="84">
        <f t="shared" si="8"/>
        <v>0</v>
      </c>
      <c r="V90" s="84">
        <f t="shared" si="9"/>
        <v>0</v>
      </c>
      <c r="W90" s="84">
        <f t="shared" si="10"/>
        <v>0</v>
      </c>
      <c r="X90" s="84">
        <f t="shared" si="11"/>
        <v>0</v>
      </c>
      <c r="Y90" s="84">
        <f t="shared" si="12"/>
        <v>0</v>
      </c>
      <c r="Z90" s="84">
        <f t="shared" si="13"/>
        <v>0</v>
      </c>
      <c r="AA90" s="84">
        <f t="shared" si="14"/>
        <v>461.43712895926888</v>
      </c>
      <c r="AB90" s="84">
        <f t="shared" si="15"/>
        <v>33.218848545314408</v>
      </c>
      <c r="AC90" s="84">
        <f t="shared" si="16"/>
        <v>22.256628525360654</v>
      </c>
      <c r="AD90" s="84">
        <f t="shared" si="17"/>
        <v>775.20282588572252</v>
      </c>
      <c r="AE90" s="84">
        <f t="shared" si="18"/>
        <v>1024.4312725881703</v>
      </c>
      <c r="AF90" s="84">
        <f t="shared" si="19"/>
        <v>876.73374102406808</v>
      </c>
      <c r="AG90" s="84">
        <f t="shared" si="20"/>
        <v>1249.7243609638588</v>
      </c>
      <c r="AH90" s="84">
        <f t="shared" si="21"/>
        <v>1147.8060815933432</v>
      </c>
    </row>
    <row r="91" spans="1:34" ht="14.1" customHeight="1" x14ac:dyDescent="0.2">
      <c r="A91" s="84">
        <f t="shared" si="26"/>
        <v>-14</v>
      </c>
      <c r="B91" s="84">
        <f t="shared" si="22"/>
        <v>-15</v>
      </c>
      <c r="C91" s="84">
        <f t="shared" si="0"/>
        <v>678.58401317539551</v>
      </c>
      <c r="D91" s="41" t="str">
        <f>INDEX('Data input'!D:D, MATCH(A91, 'Data input'!C:C, -1))</f>
        <v>CLAY</v>
      </c>
      <c r="E91" s="84">
        <f>INDEX('Data input'!H:H, MATCH(A91, 'Data input'!C:C, -1))/gammagamma</f>
        <v>20</v>
      </c>
      <c r="F91" s="91">
        <f>INDEX('Data input'!G:G, MATCH(A91, 'Data input'!C:C, -1))/gammaPhi</f>
        <v>19.2</v>
      </c>
      <c r="G91" s="84">
        <f t="shared" si="1"/>
        <v>191.29500000000002</v>
      </c>
      <c r="H91" s="84">
        <f t="shared" si="2"/>
        <v>196.20000000000002</v>
      </c>
      <c r="I91" s="84">
        <f t="shared" si="3"/>
        <v>343.62</v>
      </c>
      <c r="J91" s="84">
        <f t="shared" si="4"/>
        <v>353.62</v>
      </c>
      <c r="K91" s="84">
        <f t="shared" si="23"/>
        <v>152.32499999999999</v>
      </c>
      <c r="L91" s="84">
        <f t="shared" si="23"/>
        <v>157.41999999999999</v>
      </c>
      <c r="M91" s="91">
        <f t="shared" si="24"/>
        <v>19.2</v>
      </c>
      <c r="N91" s="84">
        <f>IF(ISNUMBER(INDEX('Data input'!I:I, MATCH(A91, 'Data input'!C:C, -1))),INDEX('Data input'!I:I, MATCH(A91, 'Data input'!C:C, -1)),1-SIN(RADIANS(F91)))</f>
        <v>0.67113335326141677</v>
      </c>
      <c r="O91" s="84">
        <f t="shared" si="25"/>
        <v>0.2337133608563296</v>
      </c>
      <c r="P91" s="84" cm="1">
        <f t="array" ref="P91">(IFERROR(
    IF(
        OR(
            INDEX('Data input'!$D:$D, MATCH((A91+B91)/2, 'Data input'!$C$39:$C$117, -1)+36)&lt;&gt;"CLAY",
            INDEX('Data input'!$E:$E, MATCH((A91+B91)/2, 'Data input'!$C$39:$C$117, -1)+36)=0
        ),
        0,
        INDEX('Data input'!$E:$E, MATCH((A91+B91)/2, 'Data input'!$C$39:$C$117, -1)+36)
        +
        (
            (INDEX('Data input'!$F:$F, MATCH((A91+B91)/2, 'Data input'!$C$39:$C$117, -1)+36)
            -
            INDEX('Data input'!$E:$E, MATCH((A91+B91)/2, 'Data input'!$C$39:$C$117, -1)+36))
            /
            (INDEX('Data input'!$C:$C, MATCH((A91+B91)/2, 'Data input'!$C$39:$C$117, -1)+36)
            -
            IF(
                MATCH((A91+B91)/2, 'Data input'!$C$39:$C$117, -1)+36=41,
                -1000,
                INDEX('Data input'!$C:$C, MATCH((A91+B91)/2, 'Data input'!$C$39:$C$117, -1)+37)
            ))
        )
        *
        (INDEX('Data input'!$C:$C, MATCH((A91+B91)/2, 'Data input'!$C$39:$C$117, -1)+36) - (A91+B91)/2)
    ),
    ""
))/gammacu</f>
        <v>0</v>
      </c>
      <c r="Q91" s="84" cm="1">
        <f t="array" ref="Q91">(IFERROR(
    IF(
        OR(
            INDEX('Data input'!$D:$D, MATCH(B91+0.00001, 'Data input'!$C$39:$C$117, -1)+36)&lt;&gt;"CLAY",
            INDEX('Data input'!$E:$E, MATCH(B91+0.00001, 'Data input'!$C$39:$C$117, -1)+36)=0
        ),
        0,
        INDEX('Data input'!$E:$E, MATCH(B91+0.00001, 'Data input'!$C$39:$C$117, -1)+36)
        +
        (
            (INDEX('Data input'!$F:$F, MATCH(B91+0.00001, 'Data input'!$C$39:$C$117, -1)+36)
            -
            INDEX('Data input'!$E:$E, MATCH(B91+0.00001, 'Data input'!$C$39:$C$117, -1)+36))
            /
            (INDEX('Data input'!$C:$C, MATCH(B91+0.00001, 'Data input'!$C$39:$C$117, -1)+36)
            -
            IF(
                MATCH(B91+0.00001, 'Data input'!$C$39:$C$117, -1)+36=41,
                -1000,
                INDEX('Data input'!$C:$C, MATCH(B91+0.00001, 'Data input'!$C$39:$C$117, -1)+37)
            ))
        )
        *
        (INDEX('Data input'!$C:$C, MATCH(B91+0.00001, 'Data input'!$C$39:$C$117, -1)+36) - B91)
    ),
    ""
))/gammacu</f>
        <v>0</v>
      </c>
      <c r="R91" s="84">
        <f t="shared" si="5"/>
        <v>1</v>
      </c>
      <c r="S91" s="84">
        <f t="shared" si="6"/>
        <v>9</v>
      </c>
      <c r="T91" s="84">
        <f t="shared" si="7"/>
        <v>5.2652504644822562</v>
      </c>
      <c r="U91" s="84">
        <f t="shared" si="8"/>
        <v>0</v>
      </c>
      <c r="V91" s="84">
        <f t="shared" si="9"/>
        <v>0</v>
      </c>
      <c r="W91" s="84">
        <f t="shared" si="10"/>
        <v>0</v>
      </c>
      <c r="X91" s="84">
        <f t="shared" si="11"/>
        <v>0</v>
      </c>
      <c r="Y91" s="84">
        <f t="shared" si="12"/>
        <v>0</v>
      </c>
      <c r="Z91" s="84">
        <f t="shared" si="13"/>
        <v>0</v>
      </c>
      <c r="AA91" s="84">
        <f t="shared" si="14"/>
        <v>488.5804894862847</v>
      </c>
      <c r="AB91" s="84">
        <f t="shared" si="15"/>
        <v>35.600387692440407</v>
      </c>
      <c r="AC91" s="84">
        <f t="shared" si="16"/>
        <v>23.852259753935073</v>
      </c>
      <c r="AD91" s="84">
        <f t="shared" si="17"/>
        <v>828.85572811879672</v>
      </c>
      <c r="AE91" s="84">
        <f t="shared" si="18"/>
        <v>1158.6415723155933</v>
      </c>
      <c r="AF91" s="84">
        <f t="shared" si="19"/>
        <v>937.41374388377892</v>
      </c>
      <c r="AG91" s="84">
        <f t="shared" si="20"/>
        <v>1417.4713030239766</v>
      </c>
      <c r="AH91" s="84">
        <f t="shared" si="21"/>
        <v>1264.8703429377324</v>
      </c>
    </row>
    <row r="92" spans="1:34" ht="14.1" customHeight="1" x14ac:dyDescent="0.2">
      <c r="A92" s="84">
        <f t="shared" si="26"/>
        <v>-15</v>
      </c>
      <c r="B92" s="84">
        <f t="shared" si="22"/>
        <v>-16</v>
      </c>
      <c r="C92" s="84">
        <f t="shared" si="0"/>
        <v>705.72737370241134</v>
      </c>
      <c r="D92" s="41" t="str">
        <f>INDEX('Data input'!D:D, MATCH(A92, 'Data input'!C:C, -1))</f>
        <v>SAND</v>
      </c>
      <c r="E92" s="84">
        <f>INDEX('Data input'!H:H, MATCH(A92, 'Data input'!C:C, -1))/gammagamma</f>
        <v>18</v>
      </c>
      <c r="F92" s="91">
        <f>INDEX('Data input'!G:G, MATCH(A92, 'Data input'!C:C, -1))/gammaPhi</f>
        <v>24</v>
      </c>
      <c r="G92" s="84">
        <f t="shared" si="1"/>
        <v>201.10500000000002</v>
      </c>
      <c r="H92" s="84">
        <f t="shared" si="2"/>
        <v>206.01000000000002</v>
      </c>
      <c r="I92" s="84">
        <f t="shared" si="3"/>
        <v>362.62</v>
      </c>
      <c r="J92" s="84">
        <f t="shared" si="4"/>
        <v>371.62</v>
      </c>
      <c r="K92" s="84">
        <f t="shared" si="23"/>
        <v>161.51499999999999</v>
      </c>
      <c r="L92" s="84">
        <f t="shared" si="23"/>
        <v>165.60999999999999</v>
      </c>
      <c r="M92" s="91">
        <f t="shared" si="24"/>
        <v>24</v>
      </c>
      <c r="N92" s="84">
        <f>IF(ISNUMBER(INDEX('Data input'!I:I, MATCH(A92, 'Data input'!C:C, -1))),INDEX('Data input'!I:I, MATCH(A92, 'Data input'!C:C, -1)),1-SIN(RADIANS(F92)))</f>
        <v>0.59326335692419985</v>
      </c>
      <c r="O92" s="84">
        <f t="shared" si="25"/>
        <v>0.26413786444509035</v>
      </c>
      <c r="P92" s="84" cm="1">
        <f t="array" ref="P92">(IFERROR(
    IF(
        OR(
            INDEX('Data input'!$D:$D, MATCH((A92+B92)/2, 'Data input'!$C$39:$C$117, -1)+36)&lt;&gt;"CLAY",
            INDEX('Data input'!$E:$E, MATCH((A92+B92)/2, 'Data input'!$C$39:$C$117, -1)+36)=0
        ),
        0,
        INDEX('Data input'!$E:$E, MATCH((A92+B92)/2, 'Data input'!$C$39:$C$117, -1)+36)
        +
        (
            (INDEX('Data input'!$F:$F, MATCH((A92+B92)/2, 'Data input'!$C$39:$C$117, -1)+36)
            -
            INDEX('Data input'!$E:$E, MATCH((A92+B92)/2, 'Data input'!$C$39:$C$117, -1)+36))
            /
            (INDEX('Data input'!$C:$C, MATCH((A92+B92)/2, 'Data input'!$C$39:$C$117, -1)+36)
            -
            IF(
                MATCH((A92+B92)/2, 'Data input'!$C$39:$C$117, -1)+36=41,
                -1000,
                INDEX('Data input'!$C:$C, MATCH((A92+B92)/2, 'Data input'!$C$39:$C$117, -1)+37)
            ))
        )
        *
        (INDEX('Data input'!$C:$C, MATCH((A92+B92)/2, 'Data input'!$C$39:$C$117, -1)+36) - (A92+B92)/2)
    ),
    ""
))/gammacu</f>
        <v>52.310924369747902</v>
      </c>
      <c r="Q92" s="84" cm="1">
        <f t="array" ref="Q92">(IFERROR(
    IF(
        OR(
            INDEX('Data input'!$D:$D, MATCH(B92+0.00001, 'Data input'!$C$39:$C$117, -1)+36)&lt;&gt;"CLAY",
            INDEX('Data input'!$E:$E, MATCH(B92+0.00001, 'Data input'!$C$39:$C$117, -1)+36)=0
        ),
        0,
        INDEX('Data input'!$E:$E, MATCH(B92+0.00001, 'Data input'!$C$39:$C$117, -1)+36)
        +
        (
            (INDEX('Data input'!$F:$F, MATCH(B92+0.00001, 'Data input'!$C$39:$C$117, -1)+36)
            -
            INDEX('Data input'!$E:$E, MATCH(B92+0.00001, 'Data input'!$C$39:$C$117, -1)+36))
            /
            (INDEX('Data input'!$C:$C, MATCH(B92+0.00001, 'Data input'!$C$39:$C$117, -1)+36)
            -
            IF(
                MATCH(B92+0.00001, 'Data input'!$C$39:$C$117, -1)+36=41,
                -1000,
                INDEX('Data input'!$C:$C, MATCH(B92+0.00001, 'Data input'!$C$39:$C$117, -1)+37)
            ))
        )
        *
        (INDEX('Data input'!$C:$C, MATCH(B92+0.00001, 'Data input'!$C$39:$C$117, -1)+36) - B92)
    ),
    ""
))/gammacu</f>
        <v>52.52100840336135</v>
      </c>
      <c r="R92" s="84" t="str">
        <f t="shared" si="5"/>
        <v>-</v>
      </c>
      <c r="S92" s="84" t="str">
        <f t="shared" si="6"/>
        <v>-</v>
      </c>
      <c r="T92" s="84">
        <f t="shared" si="7"/>
        <v>12.313900128532985</v>
      </c>
      <c r="U92" s="84">
        <f t="shared" si="8"/>
        <v>42.662227175848763</v>
      </c>
      <c r="V92" s="84">
        <f t="shared" si="9"/>
        <v>28.583692207818672</v>
      </c>
      <c r="W92" s="84">
        <f t="shared" si="10"/>
        <v>2039.3050002863476</v>
      </c>
      <c r="X92" s="84">
        <f t="shared" si="11"/>
        <v>160.83280737771037</v>
      </c>
      <c r="Y92" s="84">
        <f t="shared" si="12"/>
        <v>2306.3996186382674</v>
      </c>
      <c r="Z92" s="84">
        <f t="shared" si="13"/>
        <v>1761.5050523135662</v>
      </c>
      <c r="AA92" s="84">
        <f t="shared" si="14"/>
        <v>623.48183095636648</v>
      </c>
      <c r="AB92" s="84">
        <f t="shared" si="15"/>
        <v>42.662227175848763</v>
      </c>
      <c r="AC92" s="84">
        <f t="shared" si="16"/>
        <v>28.583692207818672</v>
      </c>
      <c r="AD92" s="84">
        <f t="shared" si="17"/>
        <v>2039.3050002863476</v>
      </c>
      <c r="AE92" s="84">
        <f t="shared" si="18"/>
        <v>1319.4743796933037</v>
      </c>
      <c r="AF92" s="84">
        <f t="shared" si="19"/>
        <v>2306.3996186382674</v>
      </c>
      <c r="AG92" s="84">
        <f t="shared" si="20"/>
        <v>2920.1466246291593</v>
      </c>
      <c r="AH92" s="84">
        <f t="shared" si="21"/>
        <v>1399.7716844078141</v>
      </c>
    </row>
    <row r="93" spans="1:34" ht="14.1" customHeight="1" x14ac:dyDescent="0.2">
      <c r="A93" s="84">
        <f t="shared" si="26"/>
        <v>-16</v>
      </c>
      <c r="B93" s="84">
        <f t="shared" si="22"/>
        <v>-17</v>
      </c>
      <c r="C93" s="84">
        <f t="shared" si="0"/>
        <v>732.87073422942717</v>
      </c>
      <c r="D93" s="41" t="str">
        <f>INDEX('Data input'!D:D, MATCH(A93, 'Data input'!C:C, -1))</f>
        <v>SAND</v>
      </c>
      <c r="E93" s="84">
        <f>INDEX('Data input'!H:H, MATCH(A93, 'Data input'!C:C, -1))/gammagamma</f>
        <v>18</v>
      </c>
      <c r="F93" s="91">
        <f>INDEX('Data input'!G:G, MATCH(A93, 'Data input'!C:C, -1))/gammaPhi</f>
        <v>24</v>
      </c>
      <c r="G93" s="84">
        <f t="shared" si="1"/>
        <v>210.91500000000002</v>
      </c>
      <c r="H93" s="84">
        <f t="shared" si="2"/>
        <v>215.82000000000002</v>
      </c>
      <c r="I93" s="84">
        <f t="shared" si="3"/>
        <v>380.62</v>
      </c>
      <c r="J93" s="84">
        <f t="shared" si="4"/>
        <v>389.62</v>
      </c>
      <c r="K93" s="84">
        <f t="shared" si="23"/>
        <v>169.70499999999998</v>
      </c>
      <c r="L93" s="84">
        <f t="shared" si="23"/>
        <v>173.79999999999998</v>
      </c>
      <c r="M93" s="91">
        <f t="shared" si="24"/>
        <v>24</v>
      </c>
      <c r="N93" s="84">
        <f>IF(ISNUMBER(INDEX('Data input'!I:I, MATCH(A93, 'Data input'!C:C, -1))),INDEX('Data input'!I:I, MATCH(A93, 'Data input'!C:C, -1)),1-SIN(RADIANS(F93)))</f>
        <v>0.59326335692419985</v>
      </c>
      <c r="O93" s="84">
        <f t="shared" si="25"/>
        <v>0.26413786444509035</v>
      </c>
      <c r="P93" s="84" cm="1">
        <f t="array" ref="P93">(IFERROR(
    IF(
        OR(
            INDEX('Data input'!$D:$D, MATCH((A93+B93)/2, 'Data input'!$C$39:$C$117, -1)+36)&lt;&gt;"CLAY",
            INDEX('Data input'!$E:$E, MATCH((A93+B93)/2, 'Data input'!$C$39:$C$117, -1)+36)=0
        ),
        0,
        INDEX('Data input'!$E:$E, MATCH((A93+B93)/2, 'Data input'!$C$39:$C$117, -1)+36)
        +
        (
            (INDEX('Data input'!$F:$F, MATCH((A93+B93)/2, 'Data input'!$C$39:$C$117, -1)+36)
            -
            INDEX('Data input'!$E:$E, MATCH((A93+B93)/2, 'Data input'!$C$39:$C$117, -1)+36))
            /
            (INDEX('Data input'!$C:$C, MATCH((A93+B93)/2, 'Data input'!$C$39:$C$117, -1)+36)
            -
            IF(
                MATCH((A93+B93)/2, 'Data input'!$C$39:$C$117, -1)+36=41,
                -1000,
                INDEX('Data input'!$C:$C, MATCH((A93+B93)/2, 'Data input'!$C$39:$C$117, -1)+37)
            ))
        )
        *
        (INDEX('Data input'!$C:$C, MATCH((A93+B93)/2, 'Data input'!$C$39:$C$117, -1)+36) - (A93+B93)/2)
    ),
    ""
))/gammacu</f>
        <v>52.731092436974798</v>
      </c>
      <c r="Q93" s="84" cm="1">
        <f t="array" ref="Q93">(IFERROR(
    IF(
        OR(
            INDEX('Data input'!$D:$D, MATCH(B93+0.00001, 'Data input'!$C$39:$C$117, -1)+36)&lt;&gt;"CLAY",
            INDEX('Data input'!$E:$E, MATCH(B93+0.00001, 'Data input'!$C$39:$C$117, -1)+36)=0
        ),
        0,
        INDEX('Data input'!$E:$E, MATCH(B93+0.00001, 'Data input'!$C$39:$C$117, -1)+36)
        +
        (
            (INDEX('Data input'!$F:$F, MATCH(B93+0.00001, 'Data input'!$C$39:$C$117, -1)+36)
            -
            INDEX('Data input'!$E:$E, MATCH(B93+0.00001, 'Data input'!$C$39:$C$117, -1)+36))
            /
            (INDEX('Data input'!$C:$C, MATCH(B93+0.00001, 'Data input'!$C$39:$C$117, -1)+36)
            -
            IF(
                MATCH(B93+0.00001, 'Data input'!$C$39:$C$117, -1)+36=41,
                -1000,
                INDEX('Data input'!$C:$C, MATCH(B93+0.00001, 'Data input'!$C$39:$C$117, -1)+37)
            ))
        )
        *
        (INDEX('Data input'!$C:$C, MATCH(B93+0.00001, 'Data input'!$C$39:$C$117, -1)+36) - B93)
    ),
    ""
))/gammacu</f>
        <v>52.941176470588246</v>
      </c>
      <c r="R93" s="84" t="str">
        <f t="shared" si="5"/>
        <v>-</v>
      </c>
      <c r="S93" s="84" t="str">
        <f t="shared" si="6"/>
        <v>-</v>
      </c>
      <c r="T93" s="84">
        <f t="shared" si="7"/>
        <v>12.313900128532985</v>
      </c>
      <c r="U93" s="84">
        <f t="shared" si="8"/>
        <v>44.825516285654054</v>
      </c>
      <c r="V93" s="84">
        <f t="shared" si="9"/>
        <v>30.033095911388219</v>
      </c>
      <c r="W93" s="84">
        <f t="shared" si="10"/>
        <v>2140.1558423390325</v>
      </c>
      <c r="X93" s="84">
        <f t="shared" si="11"/>
        <v>329.82102256536689</v>
      </c>
      <c r="Y93" s="84">
        <f t="shared" si="12"/>
        <v>2420.4592338586485</v>
      </c>
      <c r="Z93" s="84">
        <f t="shared" si="13"/>
        <v>2017.4095221945884</v>
      </c>
      <c r="AA93" s="84">
        <f t="shared" si="14"/>
        <v>763.84729565911221</v>
      </c>
      <c r="AB93" s="84">
        <f t="shared" si="15"/>
        <v>44.825516285654054</v>
      </c>
      <c r="AC93" s="84">
        <f t="shared" si="16"/>
        <v>30.033095911388219</v>
      </c>
      <c r="AD93" s="84">
        <f t="shared" si="17"/>
        <v>2140.1558423390325</v>
      </c>
      <c r="AE93" s="84">
        <f t="shared" si="18"/>
        <v>1488.4625948809603</v>
      </c>
      <c r="AF93" s="84">
        <f t="shared" si="19"/>
        <v>2420.4592338586485</v>
      </c>
      <c r="AG93" s="84">
        <f t="shared" si="20"/>
        <v>3176.0510945101814</v>
      </c>
      <c r="AH93" s="84">
        <f t="shared" si="21"/>
        <v>1540.1371491105597</v>
      </c>
    </row>
    <row r="94" spans="1:34" ht="14.1" customHeight="1" x14ac:dyDescent="0.2">
      <c r="A94" s="84">
        <f t="shared" si="26"/>
        <v>-17</v>
      </c>
      <c r="B94" s="84">
        <f t="shared" si="22"/>
        <v>-18</v>
      </c>
      <c r="C94" s="84">
        <f t="shared" si="0"/>
        <v>760.014094756443</v>
      </c>
      <c r="D94" s="41" t="str">
        <f>INDEX('Data input'!D:D, MATCH(A94, 'Data input'!C:C, -1))</f>
        <v>SAND</v>
      </c>
      <c r="E94" s="84">
        <f>INDEX('Data input'!H:H, MATCH(A94, 'Data input'!C:C, -1))/gammagamma</f>
        <v>18</v>
      </c>
      <c r="F94" s="91">
        <f>INDEX('Data input'!G:G, MATCH(A94, 'Data input'!C:C, -1))/gammaPhi</f>
        <v>24</v>
      </c>
      <c r="G94" s="84">
        <f t="shared" si="1"/>
        <v>220.72500000000002</v>
      </c>
      <c r="H94" s="84">
        <f t="shared" si="2"/>
        <v>225.63000000000002</v>
      </c>
      <c r="I94" s="84">
        <f t="shared" si="3"/>
        <v>398.62</v>
      </c>
      <c r="J94" s="84">
        <f t="shared" si="4"/>
        <v>407.62</v>
      </c>
      <c r="K94" s="84">
        <f t="shared" si="23"/>
        <v>177.89499999999998</v>
      </c>
      <c r="L94" s="84">
        <f t="shared" si="23"/>
        <v>181.98999999999998</v>
      </c>
      <c r="M94" s="91">
        <f t="shared" si="24"/>
        <v>24</v>
      </c>
      <c r="N94" s="84">
        <f>IF(ISNUMBER(INDEX('Data input'!I:I, MATCH(A94, 'Data input'!C:C, -1))),INDEX('Data input'!I:I, MATCH(A94, 'Data input'!C:C, -1)),1-SIN(RADIANS(F94)))</f>
        <v>0.59326335692419985</v>
      </c>
      <c r="O94" s="84">
        <f t="shared" si="25"/>
        <v>0.26413786444509035</v>
      </c>
      <c r="P94" s="84" cm="1">
        <f t="array" ref="P94">(IFERROR(
    IF(
        OR(
            INDEX('Data input'!$D:$D, MATCH((A94+B94)/2, 'Data input'!$C$39:$C$117, -1)+36)&lt;&gt;"CLAY",
            INDEX('Data input'!$E:$E, MATCH((A94+B94)/2, 'Data input'!$C$39:$C$117, -1)+36)=0
        ),
        0,
        INDEX('Data input'!$E:$E, MATCH((A94+B94)/2, 'Data input'!$C$39:$C$117, -1)+36)
        +
        (
            (INDEX('Data input'!$F:$F, MATCH((A94+B94)/2, 'Data input'!$C$39:$C$117, -1)+36)
            -
            INDEX('Data input'!$E:$E, MATCH((A94+B94)/2, 'Data input'!$C$39:$C$117, -1)+36))
            /
            (INDEX('Data input'!$C:$C, MATCH((A94+B94)/2, 'Data input'!$C$39:$C$117, -1)+36)
            -
            IF(
                MATCH((A94+B94)/2, 'Data input'!$C$39:$C$117, -1)+36=41,
                -1000,
                INDEX('Data input'!$C:$C, MATCH((A94+B94)/2, 'Data input'!$C$39:$C$117, -1)+37)
            ))
        )
        *
        (INDEX('Data input'!$C:$C, MATCH((A94+B94)/2, 'Data input'!$C$39:$C$117, -1)+36) - (A94+B94)/2)
    ),
    ""
))/gammacu</f>
        <v>53.15126050420168</v>
      </c>
      <c r="Q94" s="84" cm="1">
        <f t="array" ref="Q94">(IFERROR(
    IF(
        OR(
            INDEX('Data input'!$D:$D, MATCH(B94+0.00001, 'Data input'!$C$39:$C$117, -1)+36)&lt;&gt;"CLAY",
            INDEX('Data input'!$E:$E, MATCH(B94+0.00001, 'Data input'!$C$39:$C$117, -1)+36)=0
        ),
        0,
        INDEX('Data input'!$E:$E, MATCH(B94+0.00001, 'Data input'!$C$39:$C$117, -1)+36)
        +
        (
            (INDEX('Data input'!$F:$F, MATCH(B94+0.00001, 'Data input'!$C$39:$C$117, -1)+36)
            -
            INDEX('Data input'!$E:$E, MATCH(B94+0.00001, 'Data input'!$C$39:$C$117, -1)+36))
            /
            (INDEX('Data input'!$C:$C, MATCH(B94+0.00001, 'Data input'!$C$39:$C$117, -1)+36)
            -
            IF(
                MATCH(B94+0.00001, 'Data input'!$C$39:$C$117, -1)+36=41,
                -1000,
                INDEX('Data input'!$C:$C, MATCH(B94+0.00001, 'Data input'!$C$39:$C$117, -1)+37)
            ))
        )
        *
        (INDEX('Data input'!$C:$C, MATCH(B94+0.00001, 'Data input'!$C$39:$C$117, -1)+36) - B94)
    ),
    ""
))/gammacu</f>
        <v>53.361344537815128</v>
      </c>
      <c r="R94" s="84" t="str">
        <f t="shared" si="5"/>
        <v>-</v>
      </c>
      <c r="S94" s="84" t="str">
        <f t="shared" si="6"/>
        <v>-</v>
      </c>
      <c r="T94" s="84">
        <f t="shared" si="7"/>
        <v>12.313900128532985</v>
      </c>
      <c r="U94" s="84">
        <f t="shared" si="8"/>
        <v>46.988805395459345</v>
      </c>
      <c r="V94" s="84">
        <f t="shared" si="9"/>
        <v>31.482499614957764</v>
      </c>
      <c r="W94" s="84">
        <f t="shared" si="10"/>
        <v>2241.006684391718</v>
      </c>
      <c r="X94" s="84">
        <f t="shared" si="11"/>
        <v>506.96464556296951</v>
      </c>
      <c r="Y94" s="84">
        <f t="shared" si="12"/>
        <v>2534.5188490790306</v>
      </c>
      <c r="Z94" s="84">
        <f t="shared" si="13"/>
        <v>2281.4693998855573</v>
      </c>
      <c r="AA94" s="84">
        <f t="shared" si="14"/>
        <v>909.67688359452177</v>
      </c>
      <c r="AB94" s="84">
        <f t="shared" si="15"/>
        <v>46.988805395459345</v>
      </c>
      <c r="AC94" s="84">
        <f t="shared" si="16"/>
        <v>31.482499614957764</v>
      </c>
      <c r="AD94" s="84">
        <f t="shared" si="17"/>
        <v>2241.006684391718</v>
      </c>
      <c r="AE94" s="84">
        <f t="shared" si="18"/>
        <v>1665.6062178785628</v>
      </c>
      <c r="AF94" s="84">
        <f t="shared" si="19"/>
        <v>2534.5188490790306</v>
      </c>
      <c r="AG94" s="84">
        <f t="shared" si="20"/>
        <v>3440.1109722011497</v>
      </c>
      <c r="AH94" s="84">
        <f t="shared" si="21"/>
        <v>1685.9667370459692</v>
      </c>
    </row>
    <row r="95" spans="1:34" ht="14.1" customHeight="1" x14ac:dyDescent="0.2">
      <c r="A95" s="84">
        <f t="shared" si="26"/>
        <v>-18</v>
      </c>
      <c r="B95" s="84">
        <f t="shared" si="22"/>
        <v>-19</v>
      </c>
      <c r="C95" s="84">
        <f t="shared" si="0"/>
        <v>787.15745528345883</v>
      </c>
      <c r="D95" s="41" t="str">
        <f>INDEX('Data input'!D:D, MATCH(A95, 'Data input'!C:C, -1))</f>
        <v>SAND</v>
      </c>
      <c r="E95" s="84">
        <f>INDEX('Data input'!H:H, MATCH(A95, 'Data input'!C:C, -1))/gammagamma</f>
        <v>18</v>
      </c>
      <c r="F95" s="91">
        <f>INDEX('Data input'!G:G, MATCH(A95, 'Data input'!C:C, -1))/gammaPhi</f>
        <v>24</v>
      </c>
      <c r="G95" s="84">
        <f t="shared" si="1"/>
        <v>230.53500000000003</v>
      </c>
      <c r="H95" s="84">
        <f t="shared" si="2"/>
        <v>235.44</v>
      </c>
      <c r="I95" s="84">
        <f t="shared" si="3"/>
        <v>416.62</v>
      </c>
      <c r="J95" s="84">
        <f t="shared" si="4"/>
        <v>425.62</v>
      </c>
      <c r="K95" s="84">
        <f t="shared" si="23"/>
        <v>186.08499999999998</v>
      </c>
      <c r="L95" s="84">
        <f t="shared" si="23"/>
        <v>190.18</v>
      </c>
      <c r="M95" s="91">
        <f t="shared" si="24"/>
        <v>24</v>
      </c>
      <c r="N95" s="84">
        <f>IF(ISNUMBER(INDEX('Data input'!I:I, MATCH(A95, 'Data input'!C:C, -1))),INDEX('Data input'!I:I, MATCH(A95, 'Data input'!C:C, -1)),1-SIN(RADIANS(F95)))</f>
        <v>0.59326335692419985</v>
      </c>
      <c r="O95" s="84">
        <f t="shared" si="25"/>
        <v>0.26413786444509035</v>
      </c>
      <c r="P95" s="84" cm="1">
        <f t="array" ref="P95">(IFERROR(
    IF(
        OR(
            INDEX('Data input'!$D:$D, MATCH((A95+B95)/2, 'Data input'!$C$39:$C$117, -1)+36)&lt;&gt;"CLAY",
            INDEX('Data input'!$E:$E, MATCH((A95+B95)/2, 'Data input'!$C$39:$C$117, -1)+36)=0
        ),
        0,
        INDEX('Data input'!$E:$E, MATCH((A95+B95)/2, 'Data input'!$C$39:$C$117, -1)+36)
        +
        (
            (INDEX('Data input'!$F:$F, MATCH((A95+B95)/2, 'Data input'!$C$39:$C$117, -1)+36)
            -
            INDEX('Data input'!$E:$E, MATCH((A95+B95)/2, 'Data input'!$C$39:$C$117, -1)+36))
            /
            (INDEX('Data input'!$C:$C, MATCH((A95+B95)/2, 'Data input'!$C$39:$C$117, -1)+36)
            -
            IF(
                MATCH((A95+B95)/2, 'Data input'!$C$39:$C$117, -1)+36=41,
                -1000,
                INDEX('Data input'!$C:$C, MATCH((A95+B95)/2, 'Data input'!$C$39:$C$117, -1)+37)
            ))
        )
        *
        (INDEX('Data input'!$C:$C, MATCH((A95+B95)/2, 'Data input'!$C$39:$C$117, -1)+36) - (A95+B95)/2)
    ),
    ""
))/gammacu</f>
        <v>53.571428571428577</v>
      </c>
      <c r="Q95" s="84" cm="1">
        <f t="array" ref="Q95">(IFERROR(
    IF(
        OR(
            INDEX('Data input'!$D:$D, MATCH(B95+0.00001, 'Data input'!$C$39:$C$117, -1)+36)&lt;&gt;"CLAY",
            INDEX('Data input'!$E:$E, MATCH(B95+0.00001, 'Data input'!$C$39:$C$117, -1)+36)=0
        ),
        0,
        INDEX('Data input'!$E:$E, MATCH(B95+0.00001, 'Data input'!$C$39:$C$117, -1)+36)
        +
        (
            (INDEX('Data input'!$F:$F, MATCH(B95+0.00001, 'Data input'!$C$39:$C$117, -1)+36)
            -
            INDEX('Data input'!$E:$E, MATCH(B95+0.00001, 'Data input'!$C$39:$C$117, -1)+36))
            /
            (INDEX('Data input'!$C:$C, MATCH(B95+0.00001, 'Data input'!$C$39:$C$117, -1)+36)
            -
            IF(
                MATCH(B95+0.00001, 'Data input'!$C$39:$C$117, -1)+36=41,
                -1000,
                INDEX('Data input'!$C:$C, MATCH(B95+0.00001, 'Data input'!$C$39:$C$117, -1)+37)
            ))
        )
        *
        (INDEX('Data input'!$C:$C, MATCH(B95+0.00001, 'Data input'!$C$39:$C$117, -1)+36) - B95)
    ),
    ""
))/gammacu</f>
        <v>53.781512605042025</v>
      </c>
      <c r="R95" s="84" t="str">
        <f t="shared" si="5"/>
        <v>-</v>
      </c>
      <c r="S95" s="84" t="str">
        <f t="shared" si="6"/>
        <v>-</v>
      </c>
      <c r="T95" s="84">
        <f t="shared" si="7"/>
        <v>12.313900128532985</v>
      </c>
      <c r="U95" s="84">
        <f t="shared" si="8"/>
        <v>49.152094505264635</v>
      </c>
      <c r="V95" s="84">
        <f t="shared" si="9"/>
        <v>32.931903318527304</v>
      </c>
      <c r="W95" s="84">
        <f t="shared" si="10"/>
        <v>2341.8575264444034</v>
      </c>
      <c r="X95" s="84">
        <f t="shared" si="11"/>
        <v>692.26367637051828</v>
      </c>
      <c r="Y95" s="84">
        <f t="shared" si="12"/>
        <v>2648.5784642994126</v>
      </c>
      <c r="Z95" s="84">
        <f t="shared" si="13"/>
        <v>2553.6846853864718</v>
      </c>
      <c r="AA95" s="84">
        <f t="shared" si="14"/>
        <v>1060.9705947625953</v>
      </c>
      <c r="AB95" s="84">
        <f t="shared" si="15"/>
        <v>49.152094505264635</v>
      </c>
      <c r="AC95" s="84">
        <f t="shared" si="16"/>
        <v>32.931903318527304</v>
      </c>
      <c r="AD95" s="84">
        <f t="shared" si="17"/>
        <v>2341.8575264444034</v>
      </c>
      <c r="AE95" s="84">
        <f t="shared" si="18"/>
        <v>1850.9052486861115</v>
      </c>
      <c r="AF95" s="84">
        <f t="shared" si="19"/>
        <v>2648.5784642994126</v>
      </c>
      <c r="AG95" s="84">
        <f t="shared" si="20"/>
        <v>3712.326257702065</v>
      </c>
      <c r="AH95" s="84">
        <f t="shared" si="21"/>
        <v>1837.2604482140428</v>
      </c>
    </row>
    <row r="96" spans="1:34" ht="14.1" customHeight="1" x14ac:dyDescent="0.2">
      <c r="A96" s="84">
        <f t="shared" si="26"/>
        <v>-19</v>
      </c>
      <c r="B96" s="84">
        <f t="shared" si="22"/>
        <v>-20</v>
      </c>
      <c r="C96" s="84">
        <f t="shared" si="0"/>
        <v>814.30081581047466</v>
      </c>
      <c r="D96" s="41" t="str">
        <f>INDEX('Data input'!D:D, MATCH(A96, 'Data input'!C:C, -1))</f>
        <v>SAND</v>
      </c>
      <c r="E96" s="84">
        <f>INDEX('Data input'!H:H, MATCH(A96, 'Data input'!C:C, -1))/gammagamma</f>
        <v>18</v>
      </c>
      <c r="F96" s="91">
        <f>INDEX('Data input'!G:G, MATCH(A96, 'Data input'!C:C, -1))/gammaPhi</f>
        <v>24</v>
      </c>
      <c r="G96" s="84">
        <f t="shared" si="1"/>
        <v>240.345</v>
      </c>
      <c r="H96" s="84">
        <f t="shared" si="2"/>
        <v>245.25</v>
      </c>
      <c r="I96" s="84">
        <f t="shared" si="3"/>
        <v>434.62</v>
      </c>
      <c r="J96" s="84">
        <f t="shared" si="4"/>
        <v>443.62</v>
      </c>
      <c r="K96" s="84">
        <f t="shared" si="23"/>
        <v>194.27500000000001</v>
      </c>
      <c r="L96" s="84">
        <f t="shared" si="23"/>
        <v>198.37</v>
      </c>
      <c r="M96" s="91">
        <f t="shared" si="24"/>
        <v>24</v>
      </c>
      <c r="N96" s="84">
        <f>IF(ISNUMBER(INDEX('Data input'!I:I, MATCH(A96, 'Data input'!C:C, -1))),INDEX('Data input'!I:I, MATCH(A96, 'Data input'!C:C, -1)),1-SIN(RADIANS(F96)))</f>
        <v>0.59326335692419985</v>
      </c>
      <c r="O96" s="84">
        <f t="shared" si="25"/>
        <v>0.26413786444509035</v>
      </c>
      <c r="P96" s="84" cm="1">
        <f t="array" ref="P96">(IFERROR(
    IF(
        OR(
            INDEX('Data input'!$D:$D, MATCH((A96+B96)/2, 'Data input'!$C$39:$C$117, -1)+36)&lt;&gt;"CLAY",
            INDEX('Data input'!$E:$E, MATCH((A96+B96)/2, 'Data input'!$C$39:$C$117, -1)+36)=0
        ),
        0,
        INDEX('Data input'!$E:$E, MATCH((A96+B96)/2, 'Data input'!$C$39:$C$117, -1)+36)
        +
        (
            (INDEX('Data input'!$F:$F, MATCH((A96+B96)/2, 'Data input'!$C$39:$C$117, -1)+36)
            -
            INDEX('Data input'!$E:$E, MATCH((A96+B96)/2, 'Data input'!$C$39:$C$117, -1)+36))
            /
            (INDEX('Data input'!$C:$C, MATCH((A96+B96)/2, 'Data input'!$C$39:$C$117, -1)+36)
            -
            IF(
                MATCH((A96+B96)/2, 'Data input'!$C$39:$C$117, -1)+36=41,
                -1000,
                INDEX('Data input'!$C:$C, MATCH((A96+B96)/2, 'Data input'!$C$39:$C$117, -1)+37)
            ))
        )
        *
        (INDEX('Data input'!$C:$C, MATCH((A96+B96)/2, 'Data input'!$C$39:$C$117, -1)+36) - (A96+B96)/2)
    ),
    ""
))/gammacu</f>
        <v>53.991596638655466</v>
      </c>
      <c r="Q96" s="84" cm="1">
        <f t="array" ref="Q96">(IFERROR(
    IF(
        OR(
            INDEX('Data input'!$D:$D, MATCH(B96+0.00001, 'Data input'!$C$39:$C$117, -1)+36)&lt;&gt;"CLAY",
            INDEX('Data input'!$E:$E, MATCH(B96+0.00001, 'Data input'!$C$39:$C$117, -1)+36)=0
        ),
        0,
        INDEX('Data input'!$E:$E, MATCH(B96+0.00001, 'Data input'!$C$39:$C$117, -1)+36)
        +
        (
            (INDEX('Data input'!$F:$F, MATCH(B96+0.00001, 'Data input'!$C$39:$C$117, -1)+36)
            -
            INDEX('Data input'!$E:$E, MATCH(B96+0.00001, 'Data input'!$C$39:$C$117, -1)+36))
            /
            (INDEX('Data input'!$C:$C, MATCH(B96+0.00001, 'Data input'!$C$39:$C$117, -1)+36)
            -
            IF(
                MATCH(B96+0.00001, 'Data input'!$C$39:$C$117, -1)+36=41,
                -1000,
                INDEX('Data input'!$C:$C, MATCH(B96+0.00001, 'Data input'!$C$39:$C$117, -1)+37)
            ))
        )
        *
        (INDEX('Data input'!$C:$C, MATCH(B96+0.00001, 'Data input'!$C$39:$C$117, -1)+36) - B96)
    ),
    ""
))/gammacu</f>
        <v>54.201680672268907</v>
      </c>
      <c r="R96" s="84" t="str">
        <f t="shared" si="5"/>
        <v>-</v>
      </c>
      <c r="S96" s="84" t="str">
        <f t="shared" si="6"/>
        <v>-</v>
      </c>
      <c r="T96" s="84">
        <f t="shared" si="7"/>
        <v>12.313900128532985</v>
      </c>
      <c r="U96" s="84">
        <f t="shared" si="8"/>
        <v>51.315383615069933</v>
      </c>
      <c r="V96" s="84">
        <f t="shared" si="9"/>
        <v>34.381307022096856</v>
      </c>
      <c r="W96" s="84">
        <f t="shared" si="10"/>
        <v>2442.7083684970885</v>
      </c>
      <c r="X96" s="84">
        <f t="shared" si="11"/>
        <v>885.71811498801321</v>
      </c>
      <c r="Y96" s="84">
        <f t="shared" si="12"/>
        <v>2762.6380795197942</v>
      </c>
      <c r="Z96" s="84">
        <f t="shared" si="13"/>
        <v>2834.0553786973323</v>
      </c>
      <c r="AA96" s="84">
        <f t="shared" si="14"/>
        <v>1217.7284291633327</v>
      </c>
      <c r="AB96" s="84">
        <f t="shared" si="15"/>
        <v>51.315383615069933</v>
      </c>
      <c r="AC96" s="84">
        <f t="shared" si="16"/>
        <v>34.381307022096856</v>
      </c>
      <c r="AD96" s="84">
        <f t="shared" si="17"/>
        <v>2442.7083684970885</v>
      </c>
      <c r="AE96" s="84">
        <f t="shared" si="18"/>
        <v>2044.3596873036063</v>
      </c>
      <c r="AF96" s="84">
        <f t="shared" si="19"/>
        <v>2762.6380795197942</v>
      </c>
      <c r="AG96" s="84">
        <f t="shared" si="20"/>
        <v>3992.6969510129256</v>
      </c>
      <c r="AH96" s="84">
        <f t="shared" si="21"/>
        <v>1994.0182826147802</v>
      </c>
    </row>
    <row r="97" spans="1:34" ht="14.1" customHeight="1" x14ac:dyDescent="0.2">
      <c r="A97" s="84">
        <f t="shared" si="26"/>
        <v>-20</v>
      </c>
      <c r="B97" s="84">
        <f t="shared" si="22"/>
        <v>-21</v>
      </c>
      <c r="C97" s="84">
        <f t="shared" si="0"/>
        <v>841.44417633749049</v>
      </c>
      <c r="D97" s="41" t="str">
        <f>INDEX('Data input'!D:D, MATCH(A97, 'Data input'!C:C, -1))</f>
        <v>SAND</v>
      </c>
      <c r="E97" s="84">
        <f>INDEX('Data input'!H:H, MATCH(A97, 'Data input'!C:C, -1))/gammagamma</f>
        <v>19</v>
      </c>
      <c r="F97" s="91">
        <f>INDEX('Data input'!G:G, MATCH(A97, 'Data input'!C:C, -1))/gammaPhi</f>
        <v>25.6</v>
      </c>
      <c r="G97" s="84">
        <f t="shared" si="1"/>
        <v>250.155</v>
      </c>
      <c r="H97" s="84">
        <f t="shared" si="2"/>
        <v>255.06</v>
      </c>
      <c r="I97" s="84">
        <f t="shared" si="3"/>
        <v>453.12</v>
      </c>
      <c r="J97" s="84">
        <f t="shared" si="4"/>
        <v>462.62</v>
      </c>
      <c r="K97" s="84">
        <f t="shared" si="23"/>
        <v>202.965</v>
      </c>
      <c r="L97" s="84">
        <f t="shared" si="23"/>
        <v>207.56</v>
      </c>
      <c r="M97" s="91">
        <f t="shared" si="24"/>
        <v>25.6</v>
      </c>
      <c r="N97" s="84">
        <f>IF(ISNUMBER(INDEX('Data input'!I:I, MATCH(A97, 'Data input'!C:C, -1))),INDEX('Data input'!I:I, MATCH(A97, 'Data input'!C:C, -1)),1-SIN(RADIANS(F97)))</f>
        <v>0.56791425119801775</v>
      </c>
      <c r="O97" s="84">
        <f t="shared" si="25"/>
        <v>0.27209891781390633</v>
      </c>
      <c r="P97" s="84" cm="1">
        <f t="array" ref="P97">(IFERROR(
    IF(
        OR(
            INDEX('Data input'!$D:$D, MATCH((A97+B97)/2, 'Data input'!$C$39:$C$117, -1)+36)&lt;&gt;"CLAY",
            INDEX('Data input'!$E:$E, MATCH((A97+B97)/2, 'Data input'!$C$39:$C$117, -1)+36)=0
        ),
        0,
        INDEX('Data input'!$E:$E, MATCH((A97+B97)/2, 'Data input'!$C$39:$C$117, -1)+36)
        +
        (
            (INDEX('Data input'!$F:$F, MATCH((A97+B97)/2, 'Data input'!$C$39:$C$117, -1)+36)
            -
            INDEX('Data input'!$E:$E, MATCH((A97+B97)/2, 'Data input'!$C$39:$C$117, -1)+36))
            /
            (INDEX('Data input'!$C:$C, MATCH((A97+B97)/2, 'Data input'!$C$39:$C$117, -1)+36)
            -
            IF(
                MATCH((A97+B97)/2, 'Data input'!$C$39:$C$117, -1)+36=41,
                -1000,
                INDEX('Data input'!$C:$C, MATCH((A97+B97)/2, 'Data input'!$C$39:$C$117, -1)+37)
            ))
        )
        *
        (INDEX('Data input'!$C:$C, MATCH((A97+B97)/2, 'Data input'!$C$39:$C$117, -1)+36) - (A97+B97)/2)
    ),
    ""
))/gammacu</f>
        <v>53.685064935064936</v>
      </c>
      <c r="Q97" s="84" cm="1">
        <f t="array" ref="Q97">(IFERROR(
    IF(
        OR(
            INDEX('Data input'!$D:$D, MATCH(B97+0.00001, 'Data input'!$C$39:$C$117, -1)+36)&lt;&gt;"CLAY",
            INDEX('Data input'!$E:$E, MATCH(B97+0.00001, 'Data input'!$C$39:$C$117, -1)+36)=0
        ),
        0,
        INDEX('Data input'!$E:$E, MATCH(B97+0.00001, 'Data input'!$C$39:$C$117, -1)+36)
        +
        (
            (INDEX('Data input'!$F:$F, MATCH(B97+0.00001, 'Data input'!$C$39:$C$117, -1)+36)
            -
            INDEX('Data input'!$E:$E, MATCH(B97+0.00001, 'Data input'!$C$39:$C$117, -1)+36))
            /
            (INDEX('Data input'!$C:$C, MATCH(B97+0.00001, 'Data input'!$C$39:$C$117, -1)+36)
            -
            IF(
                MATCH(B97+0.00001, 'Data input'!$C$39:$C$117, -1)+36=41,
                -1000,
                INDEX('Data input'!$C:$C, MATCH(B97+0.00001, 'Data input'!$C$39:$C$117, -1)+37)
            ))
        )
        *
        (INDEX('Data input'!$C:$C, MATCH(B97+0.00001, 'Data input'!$C$39:$C$117, -1)+36) - B97)
    ),
    ""
))/gammacu</f>
        <v>53.690476190476197</v>
      </c>
      <c r="R97" s="84" t="str">
        <f t="shared" si="5"/>
        <v>-</v>
      </c>
      <c r="S97" s="84" t="str">
        <f t="shared" si="6"/>
        <v>-</v>
      </c>
      <c r="T97" s="84">
        <f t="shared" si="7"/>
        <v>16.345109117620225</v>
      </c>
      <c r="U97" s="84">
        <f t="shared" si="8"/>
        <v>55.226556854099499</v>
      </c>
      <c r="V97" s="84">
        <f t="shared" si="9"/>
        <v>37.001793092246665</v>
      </c>
      <c r="W97" s="84">
        <f t="shared" si="10"/>
        <v>3392.5908484532542</v>
      </c>
      <c r="X97" s="84">
        <f t="shared" si="11"/>
        <v>1093.9173293430908</v>
      </c>
      <c r="Y97" s="84">
        <f t="shared" si="12"/>
        <v>3836.929855009214</v>
      </c>
      <c r="Z97" s="84">
        <f t="shared" si="13"/>
        <v>4089.4030080148141</v>
      </c>
      <c r="AA97" s="84">
        <f t="shared" si="14"/>
        <v>1384.3652633082506</v>
      </c>
      <c r="AB97" s="84">
        <f t="shared" si="15"/>
        <v>55.226556854099499</v>
      </c>
      <c r="AC97" s="84">
        <f t="shared" si="16"/>
        <v>37.001793092246665</v>
      </c>
      <c r="AD97" s="84">
        <f t="shared" si="17"/>
        <v>3392.5908484532542</v>
      </c>
      <c r="AE97" s="84">
        <f t="shared" si="18"/>
        <v>2252.5589016586837</v>
      </c>
      <c r="AF97" s="84">
        <f t="shared" si="19"/>
        <v>3836.929855009214</v>
      </c>
      <c r="AG97" s="84">
        <f t="shared" si="20"/>
        <v>5248.0445803304065</v>
      </c>
      <c r="AH97" s="84">
        <f t="shared" si="21"/>
        <v>2160.6551167596981</v>
      </c>
    </row>
    <row r="98" spans="1:34" ht="14.1" customHeight="1" x14ac:dyDescent="0.2">
      <c r="A98" s="84">
        <f t="shared" si="26"/>
        <v>-21</v>
      </c>
      <c r="B98" s="84">
        <f t="shared" si="22"/>
        <v>-22</v>
      </c>
      <c r="C98" s="84">
        <f t="shared" si="0"/>
        <v>868.58753686450632</v>
      </c>
      <c r="D98" s="41" t="str">
        <f>INDEX('Data input'!D:D, MATCH(A98, 'Data input'!C:C, -1))</f>
        <v>SAND</v>
      </c>
      <c r="E98" s="84">
        <f>INDEX('Data input'!H:H, MATCH(A98, 'Data input'!C:C, -1))/gammagamma</f>
        <v>19</v>
      </c>
      <c r="F98" s="91">
        <f>INDEX('Data input'!G:G, MATCH(A98, 'Data input'!C:C, -1))/gammaPhi</f>
        <v>25.6</v>
      </c>
      <c r="G98" s="84">
        <f t="shared" si="1"/>
        <v>259.96500000000003</v>
      </c>
      <c r="H98" s="84">
        <f t="shared" si="2"/>
        <v>264.87</v>
      </c>
      <c r="I98" s="84">
        <f t="shared" si="3"/>
        <v>472.12</v>
      </c>
      <c r="J98" s="84">
        <f t="shared" si="4"/>
        <v>481.62</v>
      </c>
      <c r="K98" s="84">
        <f t="shared" si="23"/>
        <v>212.15499999999997</v>
      </c>
      <c r="L98" s="84">
        <f t="shared" si="23"/>
        <v>216.75</v>
      </c>
      <c r="M98" s="91">
        <f t="shared" si="24"/>
        <v>25.6</v>
      </c>
      <c r="N98" s="84">
        <f>IF(ISNUMBER(INDEX('Data input'!I:I, MATCH(A98, 'Data input'!C:C, -1))),INDEX('Data input'!I:I, MATCH(A98, 'Data input'!C:C, -1)),1-SIN(RADIANS(F98)))</f>
        <v>0.56791425119801775</v>
      </c>
      <c r="O98" s="84">
        <f t="shared" si="25"/>
        <v>0.27209891781390633</v>
      </c>
      <c r="P98" s="84" cm="1">
        <f t="array" ref="P98">(IFERROR(
    IF(
        OR(
            INDEX('Data input'!$D:$D, MATCH((A98+B98)/2, 'Data input'!$C$39:$C$117, -1)+36)&lt;&gt;"CLAY",
            INDEX('Data input'!$E:$E, MATCH((A98+B98)/2, 'Data input'!$C$39:$C$117, -1)+36)=0
        ),
        0,
        INDEX('Data input'!$E:$E, MATCH((A98+B98)/2, 'Data input'!$C$39:$C$117, -1)+36)
        +
        (
            (INDEX('Data input'!$F:$F, MATCH((A98+B98)/2, 'Data input'!$C$39:$C$117, -1)+36)
            -
            INDEX('Data input'!$E:$E, MATCH((A98+B98)/2, 'Data input'!$C$39:$C$117, -1)+36))
            /
            (INDEX('Data input'!$C:$C, MATCH((A98+B98)/2, 'Data input'!$C$39:$C$117, -1)+36)
            -
            IF(
                MATCH((A98+B98)/2, 'Data input'!$C$39:$C$117, -1)+36=41,
                -1000,
                INDEX('Data input'!$C:$C, MATCH((A98+B98)/2, 'Data input'!$C$39:$C$117, -1)+37)
            ))
        )
        *
        (INDEX('Data input'!$C:$C, MATCH((A98+B98)/2, 'Data input'!$C$39:$C$117, -1)+36) - (A98+B98)/2)
    ),
    ""
))/gammacu</f>
        <v>53.69588744588745</v>
      </c>
      <c r="Q98" s="84" cm="1">
        <f t="array" ref="Q98">(IFERROR(
    IF(
        OR(
            INDEX('Data input'!$D:$D, MATCH(B98+0.00001, 'Data input'!$C$39:$C$117, -1)+36)&lt;&gt;"CLAY",
            INDEX('Data input'!$E:$E, MATCH(B98+0.00001, 'Data input'!$C$39:$C$117, -1)+36)=0
        ),
        0,
        INDEX('Data input'!$E:$E, MATCH(B98+0.00001, 'Data input'!$C$39:$C$117, -1)+36)
        +
        (
            (INDEX('Data input'!$F:$F, MATCH(B98+0.00001, 'Data input'!$C$39:$C$117, -1)+36)
            -
            INDEX('Data input'!$E:$E, MATCH(B98+0.00001, 'Data input'!$C$39:$C$117, -1)+36))
            /
            (INDEX('Data input'!$C:$C, MATCH(B98+0.00001, 'Data input'!$C$39:$C$117, -1)+36)
            -
            IF(
                MATCH(B98+0.00001, 'Data input'!$C$39:$C$117, -1)+36=41,
                -1000,
                INDEX('Data input'!$C:$C, MATCH(B98+0.00001, 'Data input'!$C$39:$C$117, -1)+37)
            ))
        )
        *
        (INDEX('Data input'!$C:$C, MATCH(B98+0.00001, 'Data input'!$C$39:$C$117, -1)+36) - B98)
    ),
    ""
))/gammacu</f>
        <v>53.701298701298711</v>
      </c>
      <c r="R98" s="84" t="str">
        <f t="shared" si="5"/>
        <v>-</v>
      </c>
      <c r="S98" s="84" t="str">
        <f t="shared" si="6"/>
        <v>-</v>
      </c>
      <c r="T98" s="84">
        <f t="shared" si="7"/>
        <v>16.345109117620225</v>
      </c>
      <c r="U98" s="84">
        <f t="shared" si="8"/>
        <v>57.727145908809291</v>
      </c>
      <c r="V98" s="84">
        <f t="shared" si="9"/>
        <v>38.677187758902228</v>
      </c>
      <c r="W98" s="84">
        <f t="shared" si="10"/>
        <v>3542.8024012441838</v>
      </c>
      <c r="X98" s="84">
        <f t="shared" si="11"/>
        <v>1311.5435423428764</v>
      </c>
      <c r="Y98" s="84">
        <f t="shared" si="12"/>
        <v>4006.815118872842</v>
      </c>
      <c r="Z98" s="84">
        <f t="shared" si="13"/>
        <v>4449.7711243512122</v>
      </c>
      <c r="AA98" s="84">
        <f t="shared" si="14"/>
        <v>1557.3181865451229</v>
      </c>
      <c r="AB98" s="84">
        <f t="shared" si="15"/>
        <v>57.727145908809291</v>
      </c>
      <c r="AC98" s="84">
        <f t="shared" si="16"/>
        <v>38.677187758902228</v>
      </c>
      <c r="AD98" s="84">
        <f t="shared" si="17"/>
        <v>3542.8024012441838</v>
      </c>
      <c r="AE98" s="84">
        <f t="shared" si="18"/>
        <v>2470.1851146584695</v>
      </c>
      <c r="AF98" s="84">
        <f t="shared" si="19"/>
        <v>4006.815118872842</v>
      </c>
      <c r="AG98" s="84">
        <f t="shared" si="20"/>
        <v>5608.4126966668045</v>
      </c>
      <c r="AH98" s="84">
        <f t="shared" si="21"/>
        <v>2333.6080399965704</v>
      </c>
    </row>
    <row r="99" spans="1:34" ht="14.1" customHeight="1" x14ac:dyDescent="0.2">
      <c r="A99" s="84">
        <f t="shared" si="26"/>
        <v>-22</v>
      </c>
      <c r="B99" s="84">
        <f t="shared" si="22"/>
        <v>-23</v>
      </c>
      <c r="C99" s="84">
        <f t="shared" ref="C99:C130" si="27">C98+gammaConc*(A99-B99)*PI()*(D/2000)^2</f>
        <v>895.73089739152215</v>
      </c>
      <c r="D99" s="41" t="str">
        <f>INDEX('Data input'!D:D, MATCH(A99, 'Data input'!C:C, -1))</f>
        <v>SAND</v>
      </c>
      <c r="E99" s="84">
        <f>INDEX('Data input'!H:H, MATCH(A99, 'Data input'!C:C, -1))/gammagamma</f>
        <v>19</v>
      </c>
      <c r="F99" s="91">
        <f>INDEX('Data input'!G:G, MATCH(A99, 'Data input'!C:C, -1))/gammaPhi</f>
        <v>25.6</v>
      </c>
      <c r="G99" s="84">
        <f t="shared" ref="G99:G116" si="28">MAX(0, (IF(Dewatered="Yes", MIN(GWT, Exc), GWT) - (A99+B99)/2) * 9.81)</f>
        <v>269.77500000000003</v>
      </c>
      <c r="H99" s="84">
        <f t="shared" ref="H99:H116" si="29">MAX(0, (IF(Dewatered="Yes", MIN(GWT, Exc), GWT) - B99) * 9.81)</f>
        <v>274.68</v>
      </c>
      <c r="I99" s="84">
        <f t="shared" ref="I99:I116" si="30">IF(AND(Dewatered="Yes", A99&gt;=Exc),0,J98+(E99 * MAX(0, MIN(A99, Exc) - B99)+ 9.81 * IF(Dewatered="Yes",0,MAX(0, MIN(A99, GWT) - MAX(B99, Exc))))*(A99-B99)/2)</f>
        <v>491.12</v>
      </c>
      <c r="J99" s="84">
        <f t="shared" ref="J99:J116" si="31">IF(AND(Dewatered="Yes", A99&gt;=Exc),0,J98+ E99 * MAX(0, MIN(A99, Exc) - B99)+ 9.81 * IF(Dewatered="Yes",0,MAX(0, MIN(A99, GWT) - MAX(B99, Exc))))</f>
        <v>500.62</v>
      </c>
      <c r="K99" s="84">
        <f t="shared" si="23"/>
        <v>221.34499999999997</v>
      </c>
      <c r="L99" s="84">
        <f t="shared" si="23"/>
        <v>225.94</v>
      </c>
      <c r="M99" s="91">
        <f t="shared" si="24"/>
        <v>25.6</v>
      </c>
      <c r="N99" s="84">
        <f>IF(ISNUMBER(INDEX('Data input'!I:I, MATCH(A99, 'Data input'!C:C, -1))),INDEX('Data input'!I:I, MATCH(A99, 'Data input'!C:C, -1)),1-SIN(RADIANS(F99)))</f>
        <v>0.56791425119801775</v>
      </c>
      <c r="O99" s="84">
        <f t="shared" si="25"/>
        <v>0.27209891781390633</v>
      </c>
      <c r="P99" s="84" cm="1">
        <f t="array" ref="P99">(IFERROR(
    IF(
        OR(
            INDEX('Data input'!$D:$D, MATCH((A99+B99)/2, 'Data input'!$C$39:$C$117, -1)+36)&lt;&gt;"CLAY",
            INDEX('Data input'!$E:$E, MATCH((A99+B99)/2, 'Data input'!$C$39:$C$117, -1)+36)=0
        ),
        0,
        INDEX('Data input'!$E:$E, MATCH((A99+B99)/2, 'Data input'!$C$39:$C$117, -1)+36)
        +
        (
            (INDEX('Data input'!$F:$F, MATCH((A99+B99)/2, 'Data input'!$C$39:$C$117, -1)+36)
            -
            INDEX('Data input'!$E:$E, MATCH((A99+B99)/2, 'Data input'!$C$39:$C$117, -1)+36))
            /
            (INDEX('Data input'!$C:$C, MATCH((A99+B99)/2, 'Data input'!$C$39:$C$117, -1)+36)
            -
            IF(
                MATCH((A99+B99)/2, 'Data input'!$C$39:$C$117, -1)+36=41,
                -1000,
                INDEX('Data input'!$C:$C, MATCH((A99+B99)/2, 'Data input'!$C$39:$C$117, -1)+37)
            ))
        )
        *
        (INDEX('Data input'!$C:$C, MATCH((A99+B99)/2, 'Data input'!$C$39:$C$117, -1)+36) - (A99+B99)/2)
    ),
    ""
))/gammacu</f>
        <v>53.706709956709958</v>
      </c>
      <c r="Q99" s="84" cm="1">
        <f t="array" ref="Q99">(IFERROR(
    IF(
        OR(
            INDEX('Data input'!$D:$D, MATCH(B99+0.00001, 'Data input'!$C$39:$C$117, -1)+36)&lt;&gt;"CLAY",
            INDEX('Data input'!$E:$E, MATCH(B99+0.00001, 'Data input'!$C$39:$C$117, -1)+36)=0
        ),
        0,
        INDEX('Data input'!$E:$E, MATCH(B99+0.00001, 'Data input'!$C$39:$C$117, -1)+36)
        +
        (
            (INDEX('Data input'!$F:$F, MATCH(B99+0.00001, 'Data input'!$C$39:$C$117, -1)+36)
            -
            INDEX('Data input'!$E:$E, MATCH(B99+0.00001, 'Data input'!$C$39:$C$117, -1)+36))
            /
            (INDEX('Data input'!$C:$C, MATCH(B99+0.00001, 'Data input'!$C$39:$C$117, -1)+36)
            -
            IF(
                MATCH(B99+0.00001, 'Data input'!$C$39:$C$117, -1)+36=41,
                -1000,
                INDEX('Data input'!$C:$C, MATCH(B99+0.00001, 'Data input'!$C$39:$C$117, -1)+37)
            ))
        )
        *
        (INDEX('Data input'!$C:$C, MATCH(B99+0.00001, 'Data input'!$C$39:$C$117, -1)+36) - B99)
    ),
    ""
))/gammacu</f>
        <v>53.712121212121218</v>
      </c>
      <c r="R99" s="84" t="str">
        <f t="shared" ref="R99:R116" si="32">IF(UPPER(D99)="CLAY",IF(P99&lt;=25,1,IF(P99&gt;=70,0.5,(1-(P99-25)/70))),"-")</f>
        <v>-</v>
      </c>
      <c r="S99" s="84" t="str">
        <f t="shared" ref="S99:S116" si="33">IF(UPPER(D99)="CLAY",MIN(6*(1+0.2*($A$67-B99)*1000/D),9),"-")</f>
        <v>-</v>
      </c>
      <c r="T99" s="84">
        <f t="shared" ref="T99:T116" si="34">0.176*EXP(0.177*M99)</f>
        <v>16.345109117620225</v>
      </c>
      <c r="U99" s="84">
        <f t="shared" ref="U99:U116" si="35">IF(B99&gt;=Exc,0,MIN(IF(UPPER(D99)="CLAY",R99*P99,O99*K99),limit.fs))</f>
        <v>60.22773496351909</v>
      </c>
      <c r="V99" s="84">
        <f t="shared" ref="V99:V130" si="36">IF(B99&gt;=Exc,0,MIN(U99*0.67,limit.f.t))</f>
        <v>40.352582425557792</v>
      </c>
      <c r="W99" s="84">
        <f t="shared" ref="W99:W116" si="37">IF(B99&gt;=Exc,0,MIN(IF(UPPER(D99)="CLAY",S99*Q99,T99*L99),limit.fb))</f>
        <v>3693.0139540351138</v>
      </c>
      <c r="X99" s="84">
        <f t="shared" ref="X99:X116" si="38">IF(B99&gt;=Exc,0,X98+PI()*(D/1000)*(A99-B99)*U99)</f>
        <v>1538.59675398737</v>
      </c>
      <c r="Y99" s="84">
        <f t="shared" ref="Y99:Y116" si="39">IF(B99&gt;=Exc,0,W99*PI()*(D/2000)^2)</f>
        <v>4176.7003827364706</v>
      </c>
      <c r="Z99" s="84">
        <f t="shared" ref="Z99:Z130" si="40">IF(B99&gt;=Exc,0,MAX(X99+Y99-C99,0))</f>
        <v>4819.5662393323182</v>
      </c>
      <c r="AA99" s="84">
        <f t="shared" ref="AA99:AA116" si="41">IF(B99&gt;=Exc,0,AA98+PI()*(D/1000)*(A99-B99)*V99+gammaConc*(A99-B99)*PI()*(D/2000)^2)</f>
        <v>1736.5871988739495</v>
      </c>
      <c r="AB99" s="84">
        <f t="shared" ref="AB99:AB116" si="42">IF(B99&gt;=Exc,0,MIN(O99*K99,limit.fs))</f>
        <v>60.22773496351909</v>
      </c>
      <c r="AC99" s="84">
        <f t="shared" ref="AC99:AC130" si="43">IF(B99&gt;=Exc,0,MIN(AB99*0.67,limit.f.t))</f>
        <v>40.352582425557792</v>
      </c>
      <c r="AD99" s="84">
        <f t="shared" ref="AD99:AD116" si="44">IF(B99&gt;=Exc,0,MIN(T99*L99,limit.fb))</f>
        <v>3693.0139540351138</v>
      </c>
      <c r="AE99" s="84">
        <f t="shared" ref="AE99:AE116" si="45">IF(B99&gt;=Exc,0,AE98+PI()*(D/1000)*(A99-B99)*AB99)</f>
        <v>2697.2383263029633</v>
      </c>
      <c r="AF99" s="84">
        <f t="shared" ref="AF99:AF116" si="46">IF(B99&gt;=Exc,0,AD99*PI()*(D/2000)^2)</f>
        <v>4176.7003827364706</v>
      </c>
      <c r="AG99" s="84">
        <f t="shared" ref="AG99:AG130" si="47">IF(B99&gt;=Exc,0,MAX(AE99+AF99-C99,0))</f>
        <v>5978.2078116479115</v>
      </c>
      <c r="AH99" s="84">
        <f t="shared" ref="AH99:AH116" si="48">IF(B99&gt;=Exc,0,AH98+PI()*(D/1000)*(A99-B99)*AC99+gammaConc*(A99-B99)*PI()*(D/2000)^2)</f>
        <v>2512.877052325397</v>
      </c>
    </row>
    <row r="100" spans="1:34" ht="14.1" customHeight="1" x14ac:dyDescent="0.2">
      <c r="A100" s="84">
        <f t="shared" si="26"/>
        <v>-23</v>
      </c>
      <c r="B100" s="84">
        <f t="shared" si="22"/>
        <v>-24</v>
      </c>
      <c r="C100" s="84">
        <f t="shared" si="27"/>
        <v>922.87425791853798</v>
      </c>
      <c r="D100" s="41" t="str">
        <f>INDEX('Data input'!D:D, MATCH(A100, 'Data input'!C:C, -1))</f>
        <v>SAND</v>
      </c>
      <c r="E100" s="84">
        <f>INDEX('Data input'!H:H, MATCH(A100, 'Data input'!C:C, -1))/gammagamma</f>
        <v>19</v>
      </c>
      <c r="F100" s="91">
        <f>INDEX('Data input'!G:G, MATCH(A100, 'Data input'!C:C, -1))/gammaPhi</f>
        <v>25.6</v>
      </c>
      <c r="G100" s="84">
        <f t="shared" si="28"/>
        <v>279.58500000000004</v>
      </c>
      <c r="H100" s="84">
        <f t="shared" si="29"/>
        <v>284.49</v>
      </c>
      <c r="I100" s="84">
        <f t="shared" si="30"/>
        <v>510.12</v>
      </c>
      <c r="J100" s="84">
        <f t="shared" si="31"/>
        <v>519.62</v>
      </c>
      <c r="K100" s="84">
        <f t="shared" si="23"/>
        <v>230.53499999999997</v>
      </c>
      <c r="L100" s="84">
        <f t="shared" si="23"/>
        <v>235.13</v>
      </c>
      <c r="M100" s="91">
        <f t="shared" si="24"/>
        <v>25.6</v>
      </c>
      <c r="N100" s="84">
        <f>IF(ISNUMBER(INDEX('Data input'!I:I, MATCH(A100, 'Data input'!C:C, -1))),INDEX('Data input'!I:I, MATCH(A100, 'Data input'!C:C, -1)),1-SIN(RADIANS(F100)))</f>
        <v>0.56791425119801775</v>
      </c>
      <c r="O100" s="84">
        <f t="shared" si="25"/>
        <v>0.27209891781390633</v>
      </c>
      <c r="P100" s="84" cm="1">
        <f t="array" ref="P100">(IFERROR(
    IF(
        OR(
            INDEX('Data input'!$D:$D, MATCH((A100+B100)/2, 'Data input'!$C$39:$C$117, -1)+36)&lt;&gt;"CLAY",
            INDEX('Data input'!$E:$E, MATCH((A100+B100)/2, 'Data input'!$C$39:$C$117, -1)+36)=0
        ),
        0,
        INDEX('Data input'!$E:$E, MATCH((A100+B100)/2, 'Data input'!$C$39:$C$117, -1)+36)
        +
        (
            (INDEX('Data input'!$F:$F, MATCH((A100+B100)/2, 'Data input'!$C$39:$C$117, -1)+36)
            -
            INDEX('Data input'!$E:$E, MATCH((A100+B100)/2, 'Data input'!$C$39:$C$117, -1)+36))
            /
            (INDEX('Data input'!$C:$C, MATCH((A100+B100)/2, 'Data input'!$C$39:$C$117, -1)+36)
            -
            IF(
                MATCH((A100+B100)/2, 'Data input'!$C$39:$C$117, -1)+36=41,
                -1000,
                INDEX('Data input'!$C:$C, MATCH((A100+B100)/2, 'Data input'!$C$39:$C$117, -1)+37)
            ))
        )
        *
        (INDEX('Data input'!$C:$C, MATCH((A100+B100)/2, 'Data input'!$C$39:$C$117, -1)+36) - (A100+B100)/2)
    ),
    ""
))/gammacu</f>
        <v>53.717532467532472</v>
      </c>
      <c r="Q100" s="84" cm="1">
        <f t="array" ref="Q100">(IFERROR(
    IF(
        OR(
            INDEX('Data input'!$D:$D, MATCH(B100+0.00001, 'Data input'!$C$39:$C$117, -1)+36)&lt;&gt;"CLAY",
            INDEX('Data input'!$E:$E, MATCH(B100+0.00001, 'Data input'!$C$39:$C$117, -1)+36)=0
        ),
        0,
        INDEX('Data input'!$E:$E, MATCH(B100+0.00001, 'Data input'!$C$39:$C$117, -1)+36)
        +
        (
            (INDEX('Data input'!$F:$F, MATCH(B100+0.00001, 'Data input'!$C$39:$C$117, -1)+36)
            -
            INDEX('Data input'!$E:$E, MATCH(B100+0.00001, 'Data input'!$C$39:$C$117, -1)+36))
            /
            (INDEX('Data input'!$C:$C, MATCH(B100+0.00001, 'Data input'!$C$39:$C$117, -1)+36)
            -
            IF(
                MATCH(B100+0.00001, 'Data input'!$C$39:$C$117, -1)+36=41,
                -1000,
                INDEX('Data input'!$C:$C, MATCH(B100+0.00001, 'Data input'!$C$39:$C$117, -1)+37)
            ))
        )
        *
        (INDEX('Data input'!$C:$C, MATCH(B100+0.00001, 'Data input'!$C$39:$C$117, -1)+36) - B100)
    ),
    ""
))/gammacu</f>
        <v>53.722943722943732</v>
      </c>
      <c r="R100" s="84" t="str">
        <f t="shared" si="32"/>
        <v>-</v>
      </c>
      <c r="S100" s="84" t="str">
        <f t="shared" si="33"/>
        <v>-</v>
      </c>
      <c r="T100" s="84">
        <f t="shared" si="34"/>
        <v>16.345109117620225</v>
      </c>
      <c r="U100" s="84">
        <f t="shared" si="35"/>
        <v>62.728324018228889</v>
      </c>
      <c r="V100" s="84">
        <f t="shared" si="36"/>
        <v>42.027977092213355</v>
      </c>
      <c r="W100" s="84">
        <f t="shared" si="37"/>
        <v>3843.2255068260433</v>
      </c>
      <c r="X100" s="84">
        <f t="shared" si="38"/>
        <v>1775.0769642765717</v>
      </c>
      <c r="Y100" s="84">
        <f t="shared" si="39"/>
        <v>4346.5856466000987</v>
      </c>
      <c r="Z100" s="84">
        <f t="shared" si="40"/>
        <v>5198.7883529581322</v>
      </c>
      <c r="AA100" s="84">
        <f t="shared" si="41"/>
        <v>1922.1723002947306</v>
      </c>
      <c r="AB100" s="84">
        <f t="shared" si="42"/>
        <v>62.728324018228889</v>
      </c>
      <c r="AC100" s="84">
        <f t="shared" si="43"/>
        <v>42.027977092213355</v>
      </c>
      <c r="AD100" s="84">
        <f t="shared" si="44"/>
        <v>3843.2255068260433</v>
      </c>
      <c r="AE100" s="84">
        <f t="shared" si="45"/>
        <v>2933.718536592165</v>
      </c>
      <c r="AF100" s="84">
        <f t="shared" si="46"/>
        <v>4346.5856466000987</v>
      </c>
      <c r="AG100" s="84">
        <f t="shared" si="47"/>
        <v>6357.4299252737255</v>
      </c>
      <c r="AH100" s="84">
        <f t="shared" si="48"/>
        <v>2698.462153746178</v>
      </c>
    </row>
    <row r="101" spans="1:34" ht="14.1" customHeight="1" x14ac:dyDescent="0.2">
      <c r="A101" s="84">
        <f t="shared" si="26"/>
        <v>-24</v>
      </c>
      <c r="B101" s="84">
        <f t="shared" si="22"/>
        <v>-25</v>
      </c>
      <c r="C101" s="84">
        <f t="shared" si="27"/>
        <v>950.01761844555381</v>
      </c>
      <c r="D101" s="41" t="str">
        <f>INDEX('Data input'!D:D, MATCH(A101, 'Data input'!C:C, -1))</f>
        <v>SAND</v>
      </c>
      <c r="E101" s="84">
        <f>INDEX('Data input'!H:H, MATCH(A101, 'Data input'!C:C, -1))/gammagamma</f>
        <v>19</v>
      </c>
      <c r="F101" s="91">
        <f>INDEX('Data input'!G:G, MATCH(A101, 'Data input'!C:C, -1))/gammaPhi</f>
        <v>25.6</v>
      </c>
      <c r="G101" s="84">
        <f t="shared" si="28"/>
        <v>289.39500000000004</v>
      </c>
      <c r="H101" s="84">
        <f t="shared" si="29"/>
        <v>294.3</v>
      </c>
      <c r="I101" s="84">
        <f t="shared" si="30"/>
        <v>529.12</v>
      </c>
      <c r="J101" s="84">
        <f t="shared" si="31"/>
        <v>538.62</v>
      </c>
      <c r="K101" s="84">
        <f t="shared" si="23"/>
        <v>239.72499999999997</v>
      </c>
      <c r="L101" s="84">
        <f t="shared" si="23"/>
        <v>244.32</v>
      </c>
      <c r="M101" s="91">
        <f t="shared" si="24"/>
        <v>25.6</v>
      </c>
      <c r="N101" s="84">
        <f>IF(ISNUMBER(INDEX('Data input'!I:I, MATCH(A101, 'Data input'!C:C, -1))),INDEX('Data input'!I:I, MATCH(A101, 'Data input'!C:C, -1)),1-SIN(RADIANS(F101)))</f>
        <v>0.56791425119801775</v>
      </c>
      <c r="O101" s="84">
        <f t="shared" si="25"/>
        <v>0.27209891781390633</v>
      </c>
      <c r="P101" s="84" cm="1">
        <f t="array" ref="P101">(IFERROR(
    IF(
        OR(
            INDEX('Data input'!$D:$D, MATCH((A101+B101)/2, 'Data input'!$C$39:$C$117, -1)+36)&lt;&gt;"CLAY",
            INDEX('Data input'!$E:$E, MATCH((A101+B101)/2, 'Data input'!$C$39:$C$117, -1)+36)=0
        ),
        0,
        INDEX('Data input'!$E:$E, MATCH((A101+B101)/2, 'Data input'!$C$39:$C$117, -1)+36)
        +
        (
            (INDEX('Data input'!$F:$F, MATCH((A101+B101)/2, 'Data input'!$C$39:$C$117, -1)+36)
            -
            INDEX('Data input'!$E:$E, MATCH((A101+B101)/2, 'Data input'!$C$39:$C$117, -1)+36))
            /
            (INDEX('Data input'!$C:$C, MATCH((A101+B101)/2, 'Data input'!$C$39:$C$117, -1)+36)
            -
            IF(
                MATCH((A101+B101)/2, 'Data input'!$C$39:$C$117, -1)+36=41,
                -1000,
                INDEX('Data input'!$C:$C, MATCH((A101+B101)/2, 'Data input'!$C$39:$C$117, -1)+37)
            ))
        )
        *
        (INDEX('Data input'!$C:$C, MATCH((A101+B101)/2, 'Data input'!$C$39:$C$117, -1)+36) - (A101+B101)/2)
    ),
    ""
))/gammacu</f>
        <v>53.728354978354979</v>
      </c>
      <c r="Q101" s="84" cm="1">
        <f t="array" ref="Q101">(IFERROR(
    IF(
        OR(
            INDEX('Data input'!$D:$D, MATCH(B101+0.00001, 'Data input'!$C$39:$C$117, -1)+36)&lt;&gt;"CLAY",
            INDEX('Data input'!$E:$E, MATCH(B101+0.00001, 'Data input'!$C$39:$C$117, -1)+36)=0
        ),
        0,
        INDEX('Data input'!$E:$E, MATCH(B101+0.00001, 'Data input'!$C$39:$C$117, -1)+36)
        +
        (
            (INDEX('Data input'!$F:$F, MATCH(B101+0.00001, 'Data input'!$C$39:$C$117, -1)+36)
            -
            INDEX('Data input'!$E:$E, MATCH(B101+0.00001, 'Data input'!$C$39:$C$117, -1)+36))
            /
            (INDEX('Data input'!$C:$C, MATCH(B101+0.00001, 'Data input'!$C$39:$C$117, -1)+36)
            -
            IF(
                MATCH(B101+0.00001, 'Data input'!$C$39:$C$117, -1)+36=41,
                -1000,
                INDEX('Data input'!$C:$C, MATCH(B101+0.00001, 'Data input'!$C$39:$C$117, -1)+37)
            ))
        )
        *
        (INDEX('Data input'!$C:$C, MATCH(B101+0.00001, 'Data input'!$C$39:$C$117, -1)+36) - B101)
    ),
    ""
))/gammacu</f>
        <v>53.733766233766239</v>
      </c>
      <c r="R101" s="84" t="str">
        <f t="shared" si="32"/>
        <v>-</v>
      </c>
      <c r="S101" s="84" t="str">
        <f t="shared" si="33"/>
        <v>-</v>
      </c>
      <c r="T101" s="84">
        <f t="shared" si="34"/>
        <v>16.345109117620225</v>
      </c>
      <c r="U101" s="84">
        <f t="shared" si="35"/>
        <v>65.228913072938681</v>
      </c>
      <c r="V101" s="84">
        <f t="shared" si="36"/>
        <v>43.703371758868919</v>
      </c>
      <c r="W101" s="84">
        <f t="shared" si="37"/>
        <v>3993.4370596169733</v>
      </c>
      <c r="X101" s="84">
        <f t="shared" si="38"/>
        <v>2020.9841732104815</v>
      </c>
      <c r="Y101" s="84">
        <f t="shared" si="39"/>
        <v>4516.4709104637268</v>
      </c>
      <c r="Z101" s="84">
        <f t="shared" si="40"/>
        <v>5587.4374652286542</v>
      </c>
      <c r="AA101" s="84">
        <f t="shared" si="41"/>
        <v>2114.073490807466</v>
      </c>
      <c r="AB101" s="84">
        <f t="shared" si="42"/>
        <v>65.228913072938681</v>
      </c>
      <c r="AC101" s="84">
        <f t="shared" si="43"/>
        <v>43.703371758868919</v>
      </c>
      <c r="AD101" s="84">
        <f t="shared" si="44"/>
        <v>3993.4370596169733</v>
      </c>
      <c r="AE101" s="84">
        <f t="shared" si="45"/>
        <v>3179.6257455260748</v>
      </c>
      <c r="AF101" s="84">
        <f t="shared" si="46"/>
        <v>4516.4709104637268</v>
      </c>
      <c r="AG101" s="84">
        <f t="shared" si="47"/>
        <v>6746.0790375442475</v>
      </c>
      <c r="AH101" s="84">
        <f t="shared" si="48"/>
        <v>2890.3633442589135</v>
      </c>
    </row>
    <row r="102" spans="1:34" ht="14.1" customHeight="1" x14ac:dyDescent="0.2">
      <c r="A102" s="84">
        <f t="shared" si="26"/>
        <v>-25</v>
      </c>
      <c r="B102" s="84">
        <f t="shared" si="22"/>
        <v>-26</v>
      </c>
      <c r="C102" s="84">
        <f t="shared" si="27"/>
        <v>977.16097897256964</v>
      </c>
      <c r="D102" s="41" t="str">
        <f>INDEX('Data input'!D:D, MATCH(A102, 'Data input'!C:C, -1))</f>
        <v>SAND</v>
      </c>
      <c r="E102" s="84">
        <f>INDEX('Data input'!H:H, MATCH(A102, 'Data input'!C:C, -1))/gammagamma</f>
        <v>20</v>
      </c>
      <c r="F102" s="91">
        <f>INDEX('Data input'!G:G, MATCH(A102, 'Data input'!C:C, -1))/gammaPhi</f>
        <v>27.2</v>
      </c>
      <c r="G102" s="84">
        <f t="shared" si="28"/>
        <v>299.20500000000004</v>
      </c>
      <c r="H102" s="84">
        <f t="shared" si="29"/>
        <v>304.11</v>
      </c>
      <c r="I102" s="84">
        <f t="shared" si="30"/>
        <v>548.62</v>
      </c>
      <c r="J102" s="84">
        <f t="shared" si="31"/>
        <v>558.62</v>
      </c>
      <c r="K102" s="84">
        <f t="shared" si="23"/>
        <v>249.41499999999996</v>
      </c>
      <c r="L102" s="84">
        <f t="shared" si="23"/>
        <v>254.51</v>
      </c>
      <c r="M102" s="91">
        <f t="shared" si="24"/>
        <v>27.2</v>
      </c>
      <c r="N102" s="84">
        <f>IF(ISNUMBER(INDEX('Data input'!I:I, MATCH(A102, 'Data input'!C:C, -1))),INDEX('Data input'!I:I, MATCH(A102, 'Data input'!C:C, -1)),1-SIN(RADIANS(F102)))</f>
        <v>0.54290207294130588</v>
      </c>
      <c r="O102" s="84">
        <f t="shared" si="25"/>
        <v>0.27901376631849217</v>
      </c>
      <c r="P102" s="84" cm="1">
        <f t="array" ref="P102">(IFERROR(
    IF(
        OR(
            INDEX('Data input'!$D:$D, MATCH((A102+B102)/2, 'Data input'!$C$39:$C$117, -1)+36)&lt;&gt;"CLAY",
            INDEX('Data input'!$E:$E, MATCH((A102+B102)/2, 'Data input'!$C$39:$C$117, -1)+36)=0
        ),
        0,
        INDEX('Data input'!$E:$E, MATCH((A102+B102)/2, 'Data input'!$C$39:$C$117, -1)+36)
        +
        (
            (INDEX('Data input'!$F:$F, MATCH((A102+B102)/2, 'Data input'!$C$39:$C$117, -1)+36)
            -
            INDEX('Data input'!$E:$E, MATCH((A102+B102)/2, 'Data input'!$C$39:$C$117, -1)+36))
            /
            (INDEX('Data input'!$C:$C, MATCH((A102+B102)/2, 'Data input'!$C$39:$C$117, -1)+36)
            -
            IF(
                MATCH((A102+B102)/2, 'Data input'!$C$39:$C$117, -1)+36=41,
                -1000,
                INDEX('Data input'!$C:$C, MATCH((A102+B102)/2, 'Data input'!$C$39:$C$117, -1)+37)
            ))
        )
        *
        (INDEX('Data input'!$C:$C, MATCH((A102+B102)/2, 'Data input'!$C$39:$C$117, -1)+36) - (A102+B102)/2)
    ),
    ""
))/gammacu</f>
        <v>0</v>
      </c>
      <c r="Q102" s="84" cm="1">
        <f t="array" ref="Q102">(IFERROR(
    IF(
        OR(
            INDEX('Data input'!$D:$D, MATCH(B102+0.00001, 'Data input'!$C$39:$C$117, -1)+36)&lt;&gt;"CLAY",
            INDEX('Data input'!$E:$E, MATCH(B102+0.00001, 'Data input'!$C$39:$C$117, -1)+36)=0
        ),
        0,
        INDEX('Data input'!$E:$E, MATCH(B102+0.00001, 'Data input'!$C$39:$C$117, -1)+36)
        +
        (
            (INDEX('Data input'!$F:$F, MATCH(B102+0.00001, 'Data input'!$C$39:$C$117, -1)+36)
            -
            INDEX('Data input'!$E:$E, MATCH(B102+0.00001, 'Data input'!$C$39:$C$117, -1)+36))
            /
            (INDEX('Data input'!$C:$C, MATCH(B102+0.00001, 'Data input'!$C$39:$C$117, -1)+36)
            -
            IF(
                MATCH(B102+0.00001, 'Data input'!$C$39:$C$117, -1)+36=41,
                -1000,
                INDEX('Data input'!$C:$C, MATCH(B102+0.00001, 'Data input'!$C$39:$C$117, -1)+37)
            ))
        )
        *
        (INDEX('Data input'!$C:$C, MATCH(B102+0.00001, 'Data input'!$C$39:$C$117, -1)+36) - B102)
    ),
    ""
))/gammacu</f>
        <v>0</v>
      </c>
      <c r="R102" s="84" t="str">
        <f t="shared" si="32"/>
        <v>-</v>
      </c>
      <c r="S102" s="84" t="str">
        <f t="shared" si="33"/>
        <v>-</v>
      </c>
      <c r="T102" s="84">
        <f t="shared" si="34"/>
        <v>21.696017450057067</v>
      </c>
      <c r="U102" s="84">
        <f t="shared" si="35"/>
        <v>69.590218526326709</v>
      </c>
      <c r="V102" s="84">
        <f t="shared" si="36"/>
        <v>46.625446412638901</v>
      </c>
      <c r="W102" s="84">
        <f t="shared" si="37"/>
        <v>4000</v>
      </c>
      <c r="X102" s="84">
        <f t="shared" si="38"/>
        <v>2283.3331163513012</v>
      </c>
      <c r="Y102" s="84">
        <f t="shared" si="39"/>
        <v>4523.8934211693013</v>
      </c>
      <c r="Z102" s="84">
        <f t="shared" si="40"/>
        <v>5830.0655585480326</v>
      </c>
      <c r="AA102" s="84">
        <f t="shared" si="41"/>
        <v>2316.9906432388311</v>
      </c>
      <c r="AB102" s="84">
        <f t="shared" si="42"/>
        <v>69.590218526326709</v>
      </c>
      <c r="AC102" s="84">
        <f t="shared" si="43"/>
        <v>46.625446412638901</v>
      </c>
      <c r="AD102" s="84">
        <f t="shared" si="44"/>
        <v>4000</v>
      </c>
      <c r="AE102" s="84">
        <f t="shared" si="45"/>
        <v>3441.9746886668945</v>
      </c>
      <c r="AF102" s="84">
        <f t="shared" si="46"/>
        <v>4523.8934211693013</v>
      </c>
      <c r="AG102" s="84">
        <f t="shared" si="47"/>
        <v>6988.7071308636259</v>
      </c>
      <c r="AH102" s="84">
        <f t="shared" si="48"/>
        <v>3093.2804966902786</v>
      </c>
    </row>
    <row r="103" spans="1:34" ht="12.95" customHeight="1" x14ac:dyDescent="0.2">
      <c r="A103" s="84">
        <f t="shared" si="26"/>
        <v>-26</v>
      </c>
      <c r="B103" s="84">
        <f t="shared" si="22"/>
        <v>-27</v>
      </c>
      <c r="C103" s="84">
        <f t="shared" si="27"/>
        <v>1004.3043394995855</v>
      </c>
      <c r="D103" s="41" t="str">
        <f>INDEX('Data input'!D:D, MATCH(A103, 'Data input'!C:C, -1))</f>
        <v>SAND</v>
      </c>
      <c r="E103" s="84">
        <f>INDEX('Data input'!H:H, MATCH(A103, 'Data input'!C:C, -1))/gammagamma</f>
        <v>20</v>
      </c>
      <c r="F103" s="91">
        <f>INDEX('Data input'!G:G, MATCH(A103, 'Data input'!C:C, -1))/gammaPhi</f>
        <v>27.2</v>
      </c>
      <c r="G103" s="84">
        <f t="shared" si="28"/>
        <v>309.01500000000004</v>
      </c>
      <c r="H103" s="84">
        <f t="shared" si="29"/>
        <v>313.92</v>
      </c>
      <c r="I103" s="84">
        <f t="shared" si="30"/>
        <v>568.62</v>
      </c>
      <c r="J103" s="84">
        <f t="shared" si="31"/>
        <v>578.62</v>
      </c>
      <c r="K103" s="84">
        <f t="shared" si="23"/>
        <v>259.60499999999996</v>
      </c>
      <c r="L103" s="84">
        <f t="shared" si="23"/>
        <v>264.7</v>
      </c>
      <c r="M103" s="91">
        <f t="shared" si="24"/>
        <v>27.2</v>
      </c>
      <c r="N103" s="84">
        <f>IF(ISNUMBER(INDEX('Data input'!I:I, MATCH(A103, 'Data input'!C:C, -1))),INDEX('Data input'!I:I, MATCH(A103, 'Data input'!C:C, -1)),1-SIN(RADIANS(F103)))</f>
        <v>0.54290207294130588</v>
      </c>
      <c r="O103" s="84">
        <f t="shared" si="25"/>
        <v>0.27901376631849217</v>
      </c>
      <c r="P103" s="84" cm="1">
        <f t="array" ref="P103">(IFERROR(
    IF(
        OR(
            INDEX('Data input'!$D:$D, MATCH((A103+B103)/2, 'Data input'!$C$39:$C$117, -1)+36)&lt;&gt;"CLAY",
            INDEX('Data input'!$E:$E, MATCH((A103+B103)/2, 'Data input'!$C$39:$C$117, -1)+36)=0
        ),
        0,
        INDEX('Data input'!$E:$E, MATCH((A103+B103)/2, 'Data input'!$C$39:$C$117, -1)+36)
        +
        (
            (INDEX('Data input'!$F:$F, MATCH((A103+B103)/2, 'Data input'!$C$39:$C$117, -1)+36)
            -
            INDEX('Data input'!$E:$E, MATCH((A103+B103)/2, 'Data input'!$C$39:$C$117, -1)+36))
            /
            (INDEX('Data input'!$C:$C, MATCH((A103+B103)/2, 'Data input'!$C$39:$C$117, -1)+36)
            -
            IF(
                MATCH((A103+B103)/2, 'Data input'!$C$39:$C$117, -1)+36=41,
                -1000,
                INDEX('Data input'!$C:$C, MATCH((A103+B103)/2, 'Data input'!$C$39:$C$117, -1)+37)
            ))
        )
        *
        (INDEX('Data input'!$C:$C, MATCH((A103+B103)/2, 'Data input'!$C$39:$C$117, -1)+36) - (A103+B103)/2)
    ),
    ""
))/gammacu</f>
        <v>0</v>
      </c>
      <c r="Q103" s="84" cm="1">
        <f t="array" ref="Q103">(IFERROR(
    IF(
        OR(
            INDEX('Data input'!$D:$D, MATCH(B103+0.00001, 'Data input'!$C$39:$C$117, -1)+36)&lt;&gt;"CLAY",
            INDEX('Data input'!$E:$E, MATCH(B103+0.00001, 'Data input'!$C$39:$C$117, -1)+36)=0
        ),
        0,
        INDEX('Data input'!$E:$E, MATCH(B103+0.00001, 'Data input'!$C$39:$C$117, -1)+36)
        +
        (
            (INDEX('Data input'!$F:$F, MATCH(B103+0.00001, 'Data input'!$C$39:$C$117, -1)+36)
            -
            INDEX('Data input'!$E:$E, MATCH(B103+0.00001, 'Data input'!$C$39:$C$117, -1)+36))
            /
            (INDEX('Data input'!$C:$C, MATCH(B103+0.00001, 'Data input'!$C$39:$C$117, -1)+36)
            -
            IF(
                MATCH(B103+0.00001, 'Data input'!$C$39:$C$117, -1)+36=41,
                -1000,
                INDEX('Data input'!$C:$C, MATCH(B103+0.00001, 'Data input'!$C$39:$C$117, -1)+37)
            ))
        )
        *
        (INDEX('Data input'!$C:$C, MATCH(B103+0.00001, 'Data input'!$C$39:$C$117, -1)+36) - B103)
    ),
    ""
))/gammacu</f>
        <v>0</v>
      </c>
      <c r="R103" s="84" t="str">
        <f t="shared" si="32"/>
        <v>-</v>
      </c>
      <c r="S103" s="84" t="str">
        <f t="shared" si="33"/>
        <v>-</v>
      </c>
      <c r="T103" s="84">
        <f t="shared" si="34"/>
        <v>21.696017450057067</v>
      </c>
      <c r="U103" s="84">
        <f t="shared" si="35"/>
        <v>72.433368805112153</v>
      </c>
      <c r="V103" s="84">
        <f t="shared" si="36"/>
        <v>48.530357099425146</v>
      </c>
      <c r="W103" s="84">
        <f t="shared" si="37"/>
        <v>4000</v>
      </c>
      <c r="X103" s="84">
        <f t="shared" si="38"/>
        <v>2556.4004835267815</v>
      </c>
      <c r="Y103" s="84">
        <f t="shared" si="39"/>
        <v>4523.8934211693013</v>
      </c>
      <c r="Z103" s="84">
        <f t="shared" si="40"/>
        <v>6075.9895651964971</v>
      </c>
      <c r="AA103" s="84">
        <f t="shared" si="41"/>
        <v>2527.089139773419</v>
      </c>
      <c r="AB103" s="84">
        <f t="shared" si="42"/>
        <v>72.433368805112153</v>
      </c>
      <c r="AC103" s="84">
        <f t="shared" si="43"/>
        <v>48.530357099425146</v>
      </c>
      <c r="AD103" s="84">
        <f t="shared" si="44"/>
        <v>4000</v>
      </c>
      <c r="AE103" s="84">
        <f t="shared" si="45"/>
        <v>3715.0420558423748</v>
      </c>
      <c r="AF103" s="84">
        <f t="shared" si="46"/>
        <v>4523.8934211693013</v>
      </c>
      <c r="AG103" s="84">
        <f t="shared" si="47"/>
        <v>7234.6311375120913</v>
      </c>
      <c r="AH103" s="84">
        <f t="shared" si="48"/>
        <v>3303.3789932248665</v>
      </c>
    </row>
    <row r="104" spans="1:34" ht="12.95" customHeight="1" x14ac:dyDescent="0.2">
      <c r="A104" s="84">
        <f t="shared" si="26"/>
        <v>-27</v>
      </c>
      <c r="B104" s="84">
        <f t="shared" si="22"/>
        <v>-28</v>
      </c>
      <c r="C104" s="84">
        <f t="shared" si="27"/>
        <v>1031.4477000266013</v>
      </c>
      <c r="D104" s="41" t="str">
        <f>INDEX('Data input'!D:D, MATCH(A104, 'Data input'!C:C, -1))</f>
        <v>SAND</v>
      </c>
      <c r="E104" s="84">
        <f>INDEX('Data input'!H:H, MATCH(A104, 'Data input'!C:C, -1))/gammagamma</f>
        <v>20</v>
      </c>
      <c r="F104" s="91">
        <f>INDEX('Data input'!G:G, MATCH(A104, 'Data input'!C:C, -1))/gammaPhi</f>
        <v>27.2</v>
      </c>
      <c r="G104" s="84">
        <f t="shared" si="28"/>
        <v>318.82499999999999</v>
      </c>
      <c r="H104" s="84">
        <f t="shared" si="29"/>
        <v>323.73</v>
      </c>
      <c r="I104" s="84">
        <f t="shared" si="30"/>
        <v>588.62</v>
      </c>
      <c r="J104" s="84">
        <f t="shared" si="31"/>
        <v>598.62</v>
      </c>
      <c r="K104" s="84">
        <f t="shared" si="23"/>
        <v>269.79500000000002</v>
      </c>
      <c r="L104" s="84">
        <f t="shared" si="23"/>
        <v>274.89</v>
      </c>
      <c r="M104" s="91">
        <f t="shared" si="24"/>
        <v>27.2</v>
      </c>
      <c r="N104" s="84">
        <f>IF(ISNUMBER(INDEX('Data input'!I:I, MATCH(A104, 'Data input'!C:C, -1))),INDEX('Data input'!I:I, MATCH(A104, 'Data input'!C:C, -1)),1-SIN(RADIANS(F104)))</f>
        <v>0.54290207294130588</v>
      </c>
      <c r="O104" s="84">
        <f t="shared" si="25"/>
        <v>0.27901376631849217</v>
      </c>
      <c r="P104" s="84" cm="1">
        <f t="array" ref="P104">(IFERROR(
    IF(
        OR(
            INDEX('Data input'!$D:$D, MATCH((A104+B104)/2, 'Data input'!$C$39:$C$117, -1)+36)&lt;&gt;"CLAY",
            INDEX('Data input'!$E:$E, MATCH((A104+B104)/2, 'Data input'!$C$39:$C$117, -1)+36)=0
        ),
        0,
        INDEX('Data input'!$E:$E, MATCH((A104+B104)/2, 'Data input'!$C$39:$C$117, -1)+36)
        +
        (
            (INDEX('Data input'!$F:$F, MATCH((A104+B104)/2, 'Data input'!$C$39:$C$117, -1)+36)
            -
            INDEX('Data input'!$E:$E, MATCH((A104+B104)/2, 'Data input'!$C$39:$C$117, -1)+36))
            /
            (INDEX('Data input'!$C:$C, MATCH((A104+B104)/2, 'Data input'!$C$39:$C$117, -1)+36)
            -
            IF(
                MATCH((A104+B104)/2, 'Data input'!$C$39:$C$117, -1)+36=41,
                -1000,
                INDEX('Data input'!$C:$C, MATCH((A104+B104)/2, 'Data input'!$C$39:$C$117, -1)+37)
            ))
        )
        *
        (INDEX('Data input'!$C:$C, MATCH((A104+B104)/2, 'Data input'!$C$39:$C$117, -1)+36) - (A104+B104)/2)
    ),
    ""
))/gammacu</f>
        <v>0</v>
      </c>
      <c r="Q104" s="84" cm="1">
        <f t="array" ref="Q104">(IFERROR(
    IF(
        OR(
            INDEX('Data input'!$D:$D, MATCH(B104+0.00001, 'Data input'!$C$39:$C$117, -1)+36)&lt;&gt;"CLAY",
            INDEX('Data input'!$E:$E, MATCH(B104+0.00001, 'Data input'!$C$39:$C$117, -1)+36)=0
        ),
        0,
        INDEX('Data input'!$E:$E, MATCH(B104+0.00001, 'Data input'!$C$39:$C$117, -1)+36)
        +
        (
            (INDEX('Data input'!$F:$F, MATCH(B104+0.00001, 'Data input'!$C$39:$C$117, -1)+36)
            -
            INDEX('Data input'!$E:$E, MATCH(B104+0.00001, 'Data input'!$C$39:$C$117, -1)+36))
            /
            (INDEX('Data input'!$C:$C, MATCH(B104+0.00001, 'Data input'!$C$39:$C$117, -1)+36)
            -
            IF(
                MATCH(B104+0.00001, 'Data input'!$C$39:$C$117, -1)+36=41,
                -1000,
                INDEX('Data input'!$C:$C, MATCH(B104+0.00001, 'Data input'!$C$39:$C$117, -1)+37)
            ))
        )
        *
        (INDEX('Data input'!$C:$C, MATCH(B104+0.00001, 'Data input'!$C$39:$C$117, -1)+36) - B104)
    ),
    ""
))/gammacu</f>
        <v>0</v>
      </c>
      <c r="R104" s="84" t="str">
        <f t="shared" si="32"/>
        <v>-</v>
      </c>
      <c r="S104" s="84" t="str">
        <f t="shared" si="33"/>
        <v>-</v>
      </c>
      <c r="T104" s="84">
        <f t="shared" si="34"/>
        <v>21.696017450057067</v>
      </c>
      <c r="U104" s="84">
        <f t="shared" si="35"/>
        <v>75.276519083897597</v>
      </c>
      <c r="V104" s="84">
        <f t="shared" si="36"/>
        <v>50.435267786211391</v>
      </c>
      <c r="W104" s="84">
        <f t="shared" si="37"/>
        <v>4000</v>
      </c>
      <c r="X104" s="84">
        <f t="shared" si="38"/>
        <v>2840.1862747369228</v>
      </c>
      <c r="Y104" s="84">
        <f t="shared" si="39"/>
        <v>4523.8934211693013</v>
      </c>
      <c r="Z104" s="84">
        <f t="shared" si="40"/>
        <v>6332.631995879623</v>
      </c>
      <c r="AA104" s="84">
        <f t="shared" si="41"/>
        <v>2744.3689804112296</v>
      </c>
      <c r="AB104" s="84">
        <f t="shared" si="42"/>
        <v>75.276519083897597</v>
      </c>
      <c r="AC104" s="84">
        <f t="shared" si="43"/>
        <v>50.435267786211391</v>
      </c>
      <c r="AD104" s="84">
        <f t="shared" si="44"/>
        <v>4000</v>
      </c>
      <c r="AE104" s="84">
        <f t="shared" si="45"/>
        <v>3998.8278470525161</v>
      </c>
      <c r="AF104" s="84">
        <f t="shared" si="46"/>
        <v>4523.8934211693013</v>
      </c>
      <c r="AG104" s="84">
        <f t="shared" si="47"/>
        <v>7491.2735681952163</v>
      </c>
      <c r="AH104" s="84">
        <f t="shared" si="48"/>
        <v>3520.6588338626771</v>
      </c>
    </row>
    <row r="105" spans="1:34" ht="12.95" customHeight="1" x14ac:dyDescent="0.2">
      <c r="A105" s="84">
        <f t="shared" si="26"/>
        <v>-28</v>
      </c>
      <c r="B105" s="84">
        <f t="shared" si="22"/>
        <v>-29</v>
      </c>
      <c r="C105" s="84">
        <f t="shared" si="27"/>
        <v>1058.5910605536171</v>
      </c>
      <c r="D105" s="41" t="str">
        <f>INDEX('Data input'!D:D, MATCH(A105, 'Data input'!C:C, -1))</f>
        <v>SAND</v>
      </c>
      <c r="E105" s="84">
        <f>INDEX('Data input'!H:H, MATCH(A105, 'Data input'!C:C, -1))/gammagamma</f>
        <v>20</v>
      </c>
      <c r="F105" s="91">
        <f>INDEX('Data input'!G:G, MATCH(A105, 'Data input'!C:C, -1))/gammaPhi</f>
        <v>27.2</v>
      </c>
      <c r="G105" s="84">
        <f t="shared" si="28"/>
        <v>328.63499999999999</v>
      </c>
      <c r="H105" s="84">
        <f t="shared" si="29"/>
        <v>333.54</v>
      </c>
      <c r="I105" s="84">
        <f t="shared" si="30"/>
        <v>608.62</v>
      </c>
      <c r="J105" s="84">
        <f t="shared" si="31"/>
        <v>618.62</v>
      </c>
      <c r="K105" s="84">
        <f t="shared" si="23"/>
        <v>279.98500000000001</v>
      </c>
      <c r="L105" s="84">
        <f t="shared" si="23"/>
        <v>285.08</v>
      </c>
      <c r="M105" s="91">
        <f t="shared" si="24"/>
        <v>27.2</v>
      </c>
      <c r="N105" s="84">
        <f>IF(ISNUMBER(INDEX('Data input'!I:I, MATCH(A105, 'Data input'!C:C, -1))),INDEX('Data input'!I:I, MATCH(A105, 'Data input'!C:C, -1)),1-SIN(RADIANS(F105)))</f>
        <v>0.54290207294130588</v>
      </c>
      <c r="O105" s="84">
        <f t="shared" si="25"/>
        <v>0.27901376631849217</v>
      </c>
      <c r="P105" s="84" cm="1">
        <f t="array" ref="P105">(IFERROR(
    IF(
        OR(
            INDEX('Data input'!$D:$D, MATCH((A105+B105)/2, 'Data input'!$C$39:$C$117, -1)+36)&lt;&gt;"CLAY",
            INDEX('Data input'!$E:$E, MATCH((A105+B105)/2, 'Data input'!$C$39:$C$117, -1)+36)=0
        ),
        0,
        INDEX('Data input'!$E:$E, MATCH((A105+B105)/2, 'Data input'!$C$39:$C$117, -1)+36)
        +
        (
            (INDEX('Data input'!$F:$F, MATCH((A105+B105)/2, 'Data input'!$C$39:$C$117, -1)+36)
            -
            INDEX('Data input'!$E:$E, MATCH((A105+B105)/2, 'Data input'!$C$39:$C$117, -1)+36))
            /
            (INDEX('Data input'!$C:$C, MATCH((A105+B105)/2, 'Data input'!$C$39:$C$117, -1)+36)
            -
            IF(
                MATCH((A105+B105)/2, 'Data input'!$C$39:$C$117, -1)+36=41,
                -1000,
                INDEX('Data input'!$C:$C, MATCH((A105+B105)/2, 'Data input'!$C$39:$C$117, -1)+37)
            ))
        )
        *
        (INDEX('Data input'!$C:$C, MATCH((A105+B105)/2, 'Data input'!$C$39:$C$117, -1)+36) - (A105+B105)/2)
    ),
    ""
))/gammacu</f>
        <v>0</v>
      </c>
      <c r="Q105" s="84" cm="1">
        <f t="array" ref="Q105">(IFERROR(
    IF(
        OR(
            INDEX('Data input'!$D:$D, MATCH(B105+0.00001, 'Data input'!$C$39:$C$117, -1)+36)&lt;&gt;"CLAY",
            INDEX('Data input'!$E:$E, MATCH(B105+0.00001, 'Data input'!$C$39:$C$117, -1)+36)=0
        ),
        0,
        INDEX('Data input'!$E:$E, MATCH(B105+0.00001, 'Data input'!$C$39:$C$117, -1)+36)
        +
        (
            (INDEX('Data input'!$F:$F, MATCH(B105+0.00001, 'Data input'!$C$39:$C$117, -1)+36)
            -
            INDEX('Data input'!$E:$E, MATCH(B105+0.00001, 'Data input'!$C$39:$C$117, -1)+36))
            /
            (INDEX('Data input'!$C:$C, MATCH(B105+0.00001, 'Data input'!$C$39:$C$117, -1)+36)
            -
            IF(
                MATCH(B105+0.00001, 'Data input'!$C$39:$C$117, -1)+36=41,
                -1000,
                INDEX('Data input'!$C:$C, MATCH(B105+0.00001, 'Data input'!$C$39:$C$117, -1)+37)
            ))
        )
        *
        (INDEX('Data input'!$C:$C, MATCH(B105+0.00001, 'Data input'!$C$39:$C$117, -1)+36) - B105)
    ),
    ""
))/gammacu</f>
        <v>0</v>
      </c>
      <c r="R105" s="84" t="str">
        <f t="shared" si="32"/>
        <v>-</v>
      </c>
      <c r="S105" s="84" t="str">
        <f t="shared" si="33"/>
        <v>-</v>
      </c>
      <c r="T105" s="84">
        <f t="shared" si="34"/>
        <v>21.696017450057067</v>
      </c>
      <c r="U105" s="84">
        <f t="shared" si="35"/>
        <v>78.119669362683041</v>
      </c>
      <c r="V105" s="84">
        <f t="shared" si="36"/>
        <v>52.340178472997643</v>
      </c>
      <c r="W105" s="84">
        <f t="shared" si="37"/>
        <v>4000</v>
      </c>
      <c r="X105" s="84">
        <f t="shared" si="38"/>
        <v>3134.690489981725</v>
      </c>
      <c r="Y105" s="84">
        <f t="shared" si="39"/>
        <v>4523.8934211693013</v>
      </c>
      <c r="Z105" s="84">
        <f t="shared" si="40"/>
        <v>6599.9928505974094</v>
      </c>
      <c r="AA105" s="84">
        <f t="shared" si="41"/>
        <v>2968.8301651522629</v>
      </c>
      <c r="AB105" s="84">
        <f t="shared" si="42"/>
        <v>78.119669362683041</v>
      </c>
      <c r="AC105" s="84">
        <f t="shared" si="43"/>
        <v>52.340178472997643</v>
      </c>
      <c r="AD105" s="84">
        <f t="shared" si="44"/>
        <v>4000</v>
      </c>
      <c r="AE105" s="84">
        <f t="shared" si="45"/>
        <v>4293.3320622973188</v>
      </c>
      <c r="AF105" s="84">
        <f t="shared" si="46"/>
        <v>4523.8934211693013</v>
      </c>
      <c r="AG105" s="84">
        <f t="shared" si="47"/>
        <v>7758.6344229130027</v>
      </c>
      <c r="AH105" s="84">
        <f t="shared" si="48"/>
        <v>3745.1200186037104</v>
      </c>
    </row>
    <row r="106" spans="1:34" ht="12.95" customHeight="1" x14ac:dyDescent="0.2">
      <c r="A106" s="84">
        <f t="shared" si="26"/>
        <v>-29</v>
      </c>
      <c r="B106" s="84">
        <f t="shared" si="22"/>
        <v>-30</v>
      </c>
      <c r="C106" s="84">
        <f t="shared" si="27"/>
        <v>1085.734421080633</v>
      </c>
      <c r="D106" s="41" t="str">
        <f>INDEX('Data input'!D:D, MATCH(A106, 'Data input'!C:C, -1))</f>
        <v>SAND</v>
      </c>
      <c r="E106" s="84">
        <f>INDEX('Data input'!H:H, MATCH(A106, 'Data input'!C:C, -1))/gammagamma</f>
        <v>20</v>
      </c>
      <c r="F106" s="91">
        <f>INDEX('Data input'!G:G, MATCH(A106, 'Data input'!C:C, -1))/gammaPhi</f>
        <v>27.2</v>
      </c>
      <c r="G106" s="84">
        <f t="shared" si="28"/>
        <v>338.44499999999999</v>
      </c>
      <c r="H106" s="84">
        <f t="shared" si="29"/>
        <v>343.35</v>
      </c>
      <c r="I106" s="84">
        <f t="shared" si="30"/>
        <v>628.62</v>
      </c>
      <c r="J106" s="84">
        <f t="shared" si="31"/>
        <v>638.62</v>
      </c>
      <c r="K106" s="84">
        <f t="shared" si="23"/>
        <v>290.17500000000001</v>
      </c>
      <c r="L106" s="84">
        <f t="shared" si="23"/>
        <v>295.27</v>
      </c>
      <c r="M106" s="91">
        <f t="shared" si="24"/>
        <v>27.2</v>
      </c>
      <c r="N106" s="84">
        <f>IF(ISNUMBER(INDEX('Data input'!I:I, MATCH(A106, 'Data input'!C:C, -1))),INDEX('Data input'!I:I, MATCH(A106, 'Data input'!C:C, -1)),1-SIN(RADIANS(F106)))</f>
        <v>0.54290207294130588</v>
      </c>
      <c r="O106" s="84">
        <f t="shared" si="25"/>
        <v>0.27901376631849217</v>
      </c>
      <c r="P106" s="84" cm="1">
        <f t="array" ref="P106">(IFERROR(
    IF(
        OR(
            INDEX('Data input'!$D:$D, MATCH((A106+B106)/2, 'Data input'!$C$39:$C$117, -1)+36)&lt;&gt;"CLAY",
            INDEX('Data input'!$E:$E, MATCH((A106+B106)/2, 'Data input'!$C$39:$C$117, -1)+36)=0
        ),
        0,
        INDEX('Data input'!$E:$E, MATCH((A106+B106)/2, 'Data input'!$C$39:$C$117, -1)+36)
        +
        (
            (INDEX('Data input'!$F:$F, MATCH((A106+B106)/2, 'Data input'!$C$39:$C$117, -1)+36)
            -
            INDEX('Data input'!$E:$E, MATCH((A106+B106)/2, 'Data input'!$C$39:$C$117, -1)+36))
            /
            (INDEX('Data input'!$C:$C, MATCH((A106+B106)/2, 'Data input'!$C$39:$C$117, -1)+36)
            -
            IF(
                MATCH((A106+B106)/2, 'Data input'!$C$39:$C$117, -1)+36=41,
                -1000,
                INDEX('Data input'!$C:$C, MATCH((A106+B106)/2, 'Data input'!$C$39:$C$117, -1)+37)
            ))
        )
        *
        (INDEX('Data input'!$C:$C, MATCH((A106+B106)/2, 'Data input'!$C$39:$C$117, -1)+36) - (A106+B106)/2)
    ),
    ""
))/gammacu</f>
        <v>0</v>
      </c>
      <c r="Q106" s="84" cm="1">
        <f t="array" ref="Q106">(IFERROR(
    IF(
        OR(
            INDEX('Data input'!$D:$D, MATCH(B106+0.00001, 'Data input'!$C$39:$C$117, -1)+36)&lt;&gt;"CLAY",
            INDEX('Data input'!$E:$E, MATCH(B106+0.00001, 'Data input'!$C$39:$C$117, -1)+36)=0
        ),
        0,
        INDEX('Data input'!$E:$E, MATCH(B106+0.00001, 'Data input'!$C$39:$C$117, -1)+36)
        +
        (
            (INDEX('Data input'!$F:$F, MATCH(B106+0.00001, 'Data input'!$C$39:$C$117, -1)+36)
            -
            INDEX('Data input'!$E:$E, MATCH(B106+0.00001, 'Data input'!$C$39:$C$117, -1)+36))
            /
            (INDEX('Data input'!$C:$C, MATCH(B106+0.00001, 'Data input'!$C$39:$C$117, -1)+36)
            -
            IF(
                MATCH(B106+0.00001, 'Data input'!$C$39:$C$117, -1)+36=41,
                -1000,
                INDEX('Data input'!$C:$C, MATCH(B106+0.00001, 'Data input'!$C$39:$C$117, -1)+37)
            ))
        )
        *
        (INDEX('Data input'!$C:$C, MATCH(B106+0.00001, 'Data input'!$C$39:$C$117, -1)+36) - B106)
    ),
    ""
))/gammacu</f>
        <v>0</v>
      </c>
      <c r="R106" s="84" t="str">
        <f t="shared" si="32"/>
        <v>-</v>
      </c>
      <c r="S106" s="84" t="str">
        <f t="shared" si="33"/>
        <v>-</v>
      </c>
      <c r="T106" s="84">
        <f t="shared" si="34"/>
        <v>21.696017450057067</v>
      </c>
      <c r="U106" s="84">
        <f t="shared" si="35"/>
        <v>80.962819641468471</v>
      </c>
      <c r="V106" s="84">
        <f t="shared" si="36"/>
        <v>54.24508915978388</v>
      </c>
      <c r="W106" s="84">
        <f t="shared" si="37"/>
        <v>4000</v>
      </c>
      <c r="X106" s="84">
        <f t="shared" si="38"/>
        <v>3439.9131292611883</v>
      </c>
      <c r="Y106" s="84">
        <f t="shared" si="39"/>
        <v>4523.8934211693013</v>
      </c>
      <c r="Z106" s="84">
        <f t="shared" si="40"/>
        <v>6878.0721293498564</v>
      </c>
      <c r="AA106" s="84">
        <f t="shared" si="41"/>
        <v>3200.4726939965194</v>
      </c>
      <c r="AB106" s="84">
        <f t="shared" si="42"/>
        <v>80.962819641468471</v>
      </c>
      <c r="AC106" s="84">
        <f t="shared" si="43"/>
        <v>54.24508915978388</v>
      </c>
      <c r="AD106" s="84">
        <f t="shared" si="44"/>
        <v>4000</v>
      </c>
      <c r="AE106" s="84">
        <f t="shared" si="45"/>
        <v>4598.5547015767825</v>
      </c>
      <c r="AF106" s="84">
        <f t="shared" si="46"/>
        <v>4523.8934211693013</v>
      </c>
      <c r="AG106" s="84">
        <f t="shared" si="47"/>
        <v>8036.7137016654506</v>
      </c>
      <c r="AH106" s="84">
        <f t="shared" si="48"/>
        <v>3976.7625474479664</v>
      </c>
    </row>
    <row r="107" spans="1:34" ht="12.95" customHeight="1" x14ac:dyDescent="0.2">
      <c r="A107" s="84">
        <f t="shared" si="26"/>
        <v>-30</v>
      </c>
      <c r="B107" s="84">
        <f t="shared" si="22"/>
        <v>-31</v>
      </c>
      <c r="C107" s="84">
        <f t="shared" si="27"/>
        <v>1112.8777816076488</v>
      </c>
      <c r="D107" s="41" t="str">
        <f>INDEX('Data input'!D:D, MATCH(A107, 'Data input'!C:C, -1))</f>
        <v>SAND</v>
      </c>
      <c r="E107" s="84">
        <f>INDEX('Data input'!H:H, MATCH(A107, 'Data input'!C:C, -1))/gammagamma</f>
        <v>20</v>
      </c>
      <c r="F107" s="91">
        <f>INDEX('Data input'!G:G, MATCH(A107, 'Data input'!C:C, -1))/gammaPhi</f>
        <v>27.2</v>
      </c>
      <c r="G107" s="84">
        <f t="shared" si="28"/>
        <v>348.255</v>
      </c>
      <c r="H107" s="84">
        <f t="shared" si="29"/>
        <v>353.16</v>
      </c>
      <c r="I107" s="84">
        <f t="shared" si="30"/>
        <v>648.62</v>
      </c>
      <c r="J107" s="84">
        <f t="shared" si="31"/>
        <v>658.62</v>
      </c>
      <c r="K107" s="84">
        <f t="shared" si="23"/>
        <v>300.36500000000001</v>
      </c>
      <c r="L107" s="84">
        <f t="shared" si="23"/>
        <v>305.45999999999998</v>
      </c>
      <c r="M107" s="91">
        <f t="shared" si="24"/>
        <v>27.2</v>
      </c>
      <c r="N107" s="84">
        <f>IF(ISNUMBER(INDEX('Data input'!I:I, MATCH(A107, 'Data input'!C:C, -1))),INDEX('Data input'!I:I, MATCH(A107, 'Data input'!C:C, -1)),1-SIN(RADIANS(F107)))</f>
        <v>0.54290207294130588</v>
      </c>
      <c r="O107" s="84">
        <f t="shared" si="25"/>
        <v>0.27901376631849217</v>
      </c>
      <c r="P107" s="84" cm="1">
        <f t="array" ref="P107">(IFERROR(
    IF(
        OR(
            INDEX('Data input'!$D:$D, MATCH((A107+B107)/2, 'Data input'!$C$39:$C$117, -1)+36)&lt;&gt;"CLAY",
            INDEX('Data input'!$E:$E, MATCH((A107+B107)/2, 'Data input'!$C$39:$C$117, -1)+36)=0
        ),
        0,
        INDEX('Data input'!$E:$E, MATCH((A107+B107)/2, 'Data input'!$C$39:$C$117, -1)+36)
        +
        (
            (INDEX('Data input'!$F:$F, MATCH((A107+B107)/2, 'Data input'!$C$39:$C$117, -1)+36)
            -
            INDEX('Data input'!$E:$E, MATCH((A107+B107)/2, 'Data input'!$C$39:$C$117, -1)+36))
            /
            (INDEX('Data input'!$C:$C, MATCH((A107+B107)/2, 'Data input'!$C$39:$C$117, -1)+36)
            -
            IF(
                MATCH((A107+B107)/2, 'Data input'!$C$39:$C$117, -1)+36=41,
                -1000,
                INDEX('Data input'!$C:$C, MATCH((A107+B107)/2, 'Data input'!$C$39:$C$117, -1)+37)
            ))
        )
        *
        (INDEX('Data input'!$C:$C, MATCH((A107+B107)/2, 'Data input'!$C$39:$C$117, -1)+36) - (A107+B107)/2)
    ),
    ""
))/gammacu</f>
        <v>0</v>
      </c>
      <c r="Q107" s="84" cm="1">
        <f t="array" ref="Q107">(IFERROR(
    IF(
        OR(
            INDEX('Data input'!$D:$D, MATCH(B107+0.00001, 'Data input'!$C$39:$C$117, -1)+36)&lt;&gt;"CLAY",
            INDEX('Data input'!$E:$E, MATCH(B107+0.00001, 'Data input'!$C$39:$C$117, -1)+36)=0
        ),
        0,
        INDEX('Data input'!$E:$E, MATCH(B107+0.00001, 'Data input'!$C$39:$C$117, -1)+36)
        +
        (
            (INDEX('Data input'!$F:$F, MATCH(B107+0.00001, 'Data input'!$C$39:$C$117, -1)+36)
            -
            INDEX('Data input'!$E:$E, MATCH(B107+0.00001, 'Data input'!$C$39:$C$117, -1)+36))
            /
            (INDEX('Data input'!$C:$C, MATCH(B107+0.00001, 'Data input'!$C$39:$C$117, -1)+36)
            -
            IF(
                MATCH(B107+0.00001, 'Data input'!$C$39:$C$117, -1)+36=41,
                -1000,
                INDEX('Data input'!$C:$C, MATCH(B107+0.00001, 'Data input'!$C$39:$C$117, -1)+37)
            ))
        )
        *
        (INDEX('Data input'!$C:$C, MATCH(B107+0.00001, 'Data input'!$C$39:$C$117, -1)+36) - B107)
    ),
    ""
))/gammacu</f>
        <v>0</v>
      </c>
      <c r="R107" s="84" t="str">
        <f t="shared" si="32"/>
        <v>-</v>
      </c>
      <c r="S107" s="84" t="str">
        <f t="shared" si="33"/>
        <v>-</v>
      </c>
      <c r="T107" s="84">
        <f t="shared" si="34"/>
        <v>21.696017450057067</v>
      </c>
      <c r="U107" s="84">
        <f t="shared" si="35"/>
        <v>83.805969920253901</v>
      </c>
      <c r="V107" s="84">
        <f t="shared" si="36"/>
        <v>56.149999846570118</v>
      </c>
      <c r="W107" s="84">
        <f t="shared" si="37"/>
        <v>4000</v>
      </c>
      <c r="X107" s="84">
        <f t="shared" si="38"/>
        <v>3755.8541925753125</v>
      </c>
      <c r="Y107" s="84">
        <f t="shared" si="39"/>
        <v>4523.8934211693013</v>
      </c>
      <c r="Z107" s="84">
        <f t="shared" si="40"/>
        <v>7166.8698321369648</v>
      </c>
      <c r="AA107" s="84">
        <f t="shared" si="41"/>
        <v>3439.2965669439986</v>
      </c>
      <c r="AB107" s="84">
        <f t="shared" si="42"/>
        <v>83.805969920253901</v>
      </c>
      <c r="AC107" s="84">
        <f t="shared" si="43"/>
        <v>56.149999846570118</v>
      </c>
      <c r="AD107" s="84">
        <f t="shared" si="44"/>
        <v>4000</v>
      </c>
      <c r="AE107" s="84">
        <f t="shared" si="45"/>
        <v>4914.4957648909067</v>
      </c>
      <c r="AF107" s="84">
        <f t="shared" si="46"/>
        <v>4523.8934211693013</v>
      </c>
      <c r="AG107" s="84">
        <f t="shared" si="47"/>
        <v>8325.5114044525599</v>
      </c>
      <c r="AH107" s="84">
        <f t="shared" si="48"/>
        <v>4215.5864203954452</v>
      </c>
    </row>
    <row r="108" spans="1:34" ht="12.95" customHeight="1" x14ac:dyDescent="0.2">
      <c r="A108" s="84">
        <f t="shared" si="26"/>
        <v>-31</v>
      </c>
      <c r="B108" s="84">
        <f t="shared" si="22"/>
        <v>-32</v>
      </c>
      <c r="C108" s="84">
        <f t="shared" si="27"/>
        <v>1140.0211421346646</v>
      </c>
      <c r="D108" s="41" t="str">
        <f>INDEX('Data input'!D:D, MATCH(A108, 'Data input'!C:C, -1))</f>
        <v>SAND</v>
      </c>
      <c r="E108" s="84">
        <f>INDEX('Data input'!H:H, MATCH(A108, 'Data input'!C:C, -1))/gammagamma</f>
        <v>20</v>
      </c>
      <c r="F108" s="91">
        <f>INDEX('Data input'!G:G, MATCH(A108, 'Data input'!C:C, -1))/gammaPhi</f>
        <v>27.2</v>
      </c>
      <c r="G108" s="84">
        <f t="shared" si="28"/>
        <v>358.065</v>
      </c>
      <c r="H108" s="84">
        <f t="shared" si="29"/>
        <v>362.97</v>
      </c>
      <c r="I108" s="84">
        <f t="shared" si="30"/>
        <v>668.62</v>
      </c>
      <c r="J108" s="84">
        <f t="shared" si="31"/>
        <v>678.62</v>
      </c>
      <c r="K108" s="84">
        <f t="shared" ref="K108:L116" si="49">I108-G108</f>
        <v>310.55500000000001</v>
      </c>
      <c r="L108" s="84">
        <f t="shared" si="49"/>
        <v>315.64999999999998</v>
      </c>
      <c r="M108" s="91">
        <f t="shared" si="24"/>
        <v>27.2</v>
      </c>
      <c r="N108" s="84">
        <f>IF(ISNUMBER(INDEX('Data input'!I:I, MATCH(A108, 'Data input'!C:C, -1))),INDEX('Data input'!I:I, MATCH(A108, 'Data input'!C:C, -1)),1-SIN(RADIANS(F108)))</f>
        <v>0.54290207294130588</v>
      </c>
      <c r="O108" s="84">
        <f t="shared" si="25"/>
        <v>0.27901376631849217</v>
      </c>
      <c r="P108" s="84" cm="1">
        <f t="array" ref="P108">(IFERROR(
    IF(
        OR(
            INDEX('Data input'!$D:$D, MATCH((A108+B108)/2, 'Data input'!$C$39:$C$117, -1)+36)&lt;&gt;"CLAY",
            INDEX('Data input'!$E:$E, MATCH((A108+B108)/2, 'Data input'!$C$39:$C$117, -1)+36)=0
        ),
        0,
        INDEX('Data input'!$E:$E, MATCH((A108+B108)/2, 'Data input'!$C$39:$C$117, -1)+36)
        +
        (
            (INDEX('Data input'!$F:$F, MATCH((A108+B108)/2, 'Data input'!$C$39:$C$117, -1)+36)
            -
            INDEX('Data input'!$E:$E, MATCH((A108+B108)/2, 'Data input'!$C$39:$C$117, -1)+36))
            /
            (INDEX('Data input'!$C:$C, MATCH((A108+B108)/2, 'Data input'!$C$39:$C$117, -1)+36)
            -
            IF(
                MATCH((A108+B108)/2, 'Data input'!$C$39:$C$117, -1)+36=41,
                -1000,
                INDEX('Data input'!$C:$C, MATCH((A108+B108)/2, 'Data input'!$C$39:$C$117, -1)+37)
            ))
        )
        *
        (INDEX('Data input'!$C:$C, MATCH((A108+B108)/2, 'Data input'!$C$39:$C$117, -1)+36) - (A108+B108)/2)
    ),
    ""
))/gammacu</f>
        <v>0</v>
      </c>
      <c r="Q108" s="84" cm="1">
        <f t="array" ref="Q108">(IFERROR(
    IF(
        OR(
            INDEX('Data input'!$D:$D, MATCH(B108+0.00001, 'Data input'!$C$39:$C$117, -1)+36)&lt;&gt;"CLAY",
            INDEX('Data input'!$E:$E, MATCH(B108+0.00001, 'Data input'!$C$39:$C$117, -1)+36)=0
        ),
        0,
        INDEX('Data input'!$E:$E, MATCH(B108+0.00001, 'Data input'!$C$39:$C$117, -1)+36)
        +
        (
            (INDEX('Data input'!$F:$F, MATCH(B108+0.00001, 'Data input'!$C$39:$C$117, -1)+36)
            -
            INDEX('Data input'!$E:$E, MATCH(B108+0.00001, 'Data input'!$C$39:$C$117, -1)+36))
            /
            (INDEX('Data input'!$C:$C, MATCH(B108+0.00001, 'Data input'!$C$39:$C$117, -1)+36)
            -
            IF(
                MATCH(B108+0.00001, 'Data input'!$C$39:$C$117, -1)+36=41,
                -1000,
                INDEX('Data input'!$C:$C, MATCH(B108+0.00001, 'Data input'!$C$39:$C$117, -1)+37)
            ))
        )
        *
        (INDEX('Data input'!$C:$C, MATCH(B108+0.00001, 'Data input'!$C$39:$C$117, -1)+36) - B108)
    ),
    ""
))/gammacu</f>
        <v>0</v>
      </c>
      <c r="R108" s="84" t="str">
        <f t="shared" si="32"/>
        <v>-</v>
      </c>
      <c r="S108" s="84" t="str">
        <f t="shared" si="33"/>
        <v>-</v>
      </c>
      <c r="T108" s="84">
        <f t="shared" si="34"/>
        <v>21.696017450057067</v>
      </c>
      <c r="U108" s="84">
        <f t="shared" si="35"/>
        <v>86.649120199039345</v>
      </c>
      <c r="V108" s="84">
        <f t="shared" si="36"/>
        <v>58.054910533356363</v>
      </c>
      <c r="W108" s="84">
        <f t="shared" si="37"/>
        <v>4000</v>
      </c>
      <c r="X108" s="84">
        <f t="shared" si="38"/>
        <v>4082.5136799240977</v>
      </c>
      <c r="Y108" s="84">
        <f t="shared" si="39"/>
        <v>4523.8934211693013</v>
      </c>
      <c r="Z108" s="84">
        <f t="shared" si="40"/>
        <v>7466.3859589587337</v>
      </c>
      <c r="AA108" s="84">
        <f t="shared" si="41"/>
        <v>3685.3017839947006</v>
      </c>
      <c r="AB108" s="84">
        <f t="shared" si="42"/>
        <v>86.649120199039345</v>
      </c>
      <c r="AC108" s="84">
        <f t="shared" si="43"/>
        <v>58.054910533356363</v>
      </c>
      <c r="AD108" s="84">
        <f t="shared" si="44"/>
        <v>4000</v>
      </c>
      <c r="AE108" s="84">
        <f t="shared" si="45"/>
        <v>5241.1552522396914</v>
      </c>
      <c r="AF108" s="84">
        <f t="shared" si="46"/>
        <v>4523.8934211693013</v>
      </c>
      <c r="AG108" s="84">
        <f t="shared" si="47"/>
        <v>8625.0275312743288</v>
      </c>
      <c r="AH108" s="84">
        <f t="shared" si="48"/>
        <v>4461.5916374461467</v>
      </c>
    </row>
    <row r="109" spans="1:34" ht="12.95" customHeight="1" x14ac:dyDescent="0.2">
      <c r="A109" s="84">
        <f t="shared" si="26"/>
        <v>-32</v>
      </c>
      <c r="B109" s="84">
        <f t="shared" si="22"/>
        <v>-33</v>
      </c>
      <c r="C109" s="84">
        <f t="shared" si="27"/>
        <v>1167.1645026616804</v>
      </c>
      <c r="D109" s="41" t="str">
        <f>INDEX('Data input'!D:D, MATCH(A109, 'Data input'!C:C, -1))</f>
        <v>SAND</v>
      </c>
      <c r="E109" s="84">
        <f>INDEX('Data input'!H:H, MATCH(A109, 'Data input'!C:C, -1))/gammagamma</f>
        <v>20</v>
      </c>
      <c r="F109" s="91">
        <f>INDEX('Data input'!G:G, MATCH(A109, 'Data input'!C:C, -1))/gammaPhi</f>
        <v>27.2</v>
      </c>
      <c r="G109" s="84">
        <f t="shared" si="28"/>
        <v>367.875</v>
      </c>
      <c r="H109" s="84">
        <f t="shared" si="29"/>
        <v>372.78000000000003</v>
      </c>
      <c r="I109" s="84">
        <f t="shared" si="30"/>
        <v>688.62</v>
      </c>
      <c r="J109" s="84">
        <f t="shared" si="31"/>
        <v>698.62</v>
      </c>
      <c r="K109" s="84">
        <f t="shared" si="49"/>
        <v>320.745</v>
      </c>
      <c r="L109" s="84">
        <f t="shared" si="49"/>
        <v>325.83999999999997</v>
      </c>
      <c r="M109" s="91">
        <f t="shared" si="24"/>
        <v>27.2</v>
      </c>
      <c r="N109" s="84">
        <f>IF(ISNUMBER(INDEX('Data input'!I:I, MATCH(A109, 'Data input'!C:C, -1))),INDEX('Data input'!I:I, MATCH(A109, 'Data input'!C:C, -1)),1-SIN(RADIANS(F109)))</f>
        <v>0.54290207294130588</v>
      </c>
      <c r="O109" s="84">
        <f t="shared" si="25"/>
        <v>0.27901376631849217</v>
      </c>
      <c r="P109" s="84" cm="1">
        <f t="array" ref="P109">(IFERROR(
    IF(
        OR(
            INDEX('Data input'!$D:$D, MATCH((A109+B109)/2, 'Data input'!$C$39:$C$117, -1)+36)&lt;&gt;"CLAY",
            INDEX('Data input'!$E:$E, MATCH((A109+B109)/2, 'Data input'!$C$39:$C$117, -1)+36)=0
        ),
        0,
        INDEX('Data input'!$E:$E, MATCH((A109+B109)/2, 'Data input'!$C$39:$C$117, -1)+36)
        +
        (
            (INDEX('Data input'!$F:$F, MATCH((A109+B109)/2, 'Data input'!$C$39:$C$117, -1)+36)
            -
            INDEX('Data input'!$E:$E, MATCH((A109+B109)/2, 'Data input'!$C$39:$C$117, -1)+36))
            /
            (INDEX('Data input'!$C:$C, MATCH((A109+B109)/2, 'Data input'!$C$39:$C$117, -1)+36)
            -
            IF(
                MATCH((A109+B109)/2, 'Data input'!$C$39:$C$117, -1)+36=41,
                -1000,
                INDEX('Data input'!$C:$C, MATCH((A109+B109)/2, 'Data input'!$C$39:$C$117, -1)+37)
            ))
        )
        *
        (INDEX('Data input'!$C:$C, MATCH((A109+B109)/2, 'Data input'!$C$39:$C$117, -1)+36) - (A109+B109)/2)
    ),
    ""
))/gammacu</f>
        <v>0</v>
      </c>
      <c r="Q109" s="84" cm="1">
        <f t="array" ref="Q109">(IFERROR(
    IF(
        OR(
            INDEX('Data input'!$D:$D, MATCH(B109+0.00001, 'Data input'!$C$39:$C$117, -1)+36)&lt;&gt;"CLAY",
            INDEX('Data input'!$E:$E, MATCH(B109+0.00001, 'Data input'!$C$39:$C$117, -1)+36)=0
        ),
        0,
        INDEX('Data input'!$E:$E, MATCH(B109+0.00001, 'Data input'!$C$39:$C$117, -1)+36)
        +
        (
            (INDEX('Data input'!$F:$F, MATCH(B109+0.00001, 'Data input'!$C$39:$C$117, -1)+36)
            -
            INDEX('Data input'!$E:$E, MATCH(B109+0.00001, 'Data input'!$C$39:$C$117, -1)+36))
            /
            (INDEX('Data input'!$C:$C, MATCH(B109+0.00001, 'Data input'!$C$39:$C$117, -1)+36)
            -
            IF(
                MATCH(B109+0.00001, 'Data input'!$C$39:$C$117, -1)+36=41,
                -1000,
                INDEX('Data input'!$C:$C, MATCH(B109+0.00001, 'Data input'!$C$39:$C$117, -1)+37)
            ))
        )
        *
        (INDEX('Data input'!$C:$C, MATCH(B109+0.00001, 'Data input'!$C$39:$C$117, -1)+36) - B109)
    ),
    ""
))/gammacu</f>
        <v>0</v>
      </c>
      <c r="R109" s="84" t="str">
        <f t="shared" si="32"/>
        <v>-</v>
      </c>
      <c r="S109" s="84" t="str">
        <f t="shared" si="33"/>
        <v>-</v>
      </c>
      <c r="T109" s="84">
        <f t="shared" si="34"/>
        <v>21.696017450057067</v>
      </c>
      <c r="U109" s="84">
        <f t="shared" si="35"/>
        <v>89.492270477824775</v>
      </c>
      <c r="V109" s="84">
        <f t="shared" si="36"/>
        <v>59.959821220142601</v>
      </c>
      <c r="W109" s="84">
        <f t="shared" si="37"/>
        <v>4000</v>
      </c>
      <c r="X109" s="84">
        <f t="shared" si="38"/>
        <v>4419.8915913075434</v>
      </c>
      <c r="Y109" s="84">
        <f t="shared" si="39"/>
        <v>4523.8934211693013</v>
      </c>
      <c r="Z109" s="84">
        <f t="shared" si="40"/>
        <v>7776.620509815164</v>
      </c>
      <c r="AA109" s="84">
        <f t="shared" si="41"/>
        <v>3938.4883451486253</v>
      </c>
      <c r="AB109" s="84">
        <f t="shared" si="42"/>
        <v>89.492270477824775</v>
      </c>
      <c r="AC109" s="84">
        <f t="shared" si="43"/>
        <v>59.959821220142601</v>
      </c>
      <c r="AD109" s="84">
        <f t="shared" si="44"/>
        <v>4000</v>
      </c>
      <c r="AE109" s="84">
        <f t="shared" si="45"/>
        <v>5578.5331636231376</v>
      </c>
      <c r="AF109" s="84">
        <f t="shared" si="46"/>
        <v>4523.8934211693013</v>
      </c>
      <c r="AG109" s="84">
        <f t="shared" si="47"/>
        <v>8935.2620821307592</v>
      </c>
      <c r="AH109" s="84">
        <f t="shared" si="48"/>
        <v>4714.7781986000718</v>
      </c>
    </row>
    <row r="110" spans="1:34" ht="12.95" customHeight="1" x14ac:dyDescent="0.2">
      <c r="A110" s="84">
        <f t="shared" si="26"/>
        <v>-33</v>
      </c>
      <c r="B110" s="84">
        <f t="shared" si="22"/>
        <v>-34</v>
      </c>
      <c r="C110" s="84">
        <f t="shared" si="27"/>
        <v>1194.3078631886963</v>
      </c>
      <c r="D110" s="41" t="str">
        <f>INDEX('Data input'!D:D, MATCH(A110, 'Data input'!C:C, -1))</f>
        <v>SAND</v>
      </c>
      <c r="E110" s="84">
        <f>INDEX('Data input'!H:H, MATCH(A110, 'Data input'!C:C, -1))/gammagamma</f>
        <v>20</v>
      </c>
      <c r="F110" s="91">
        <f>INDEX('Data input'!G:G, MATCH(A110, 'Data input'!C:C, -1))/gammaPhi</f>
        <v>27.2</v>
      </c>
      <c r="G110" s="84">
        <f t="shared" si="28"/>
        <v>377.685</v>
      </c>
      <c r="H110" s="84">
        <f t="shared" si="29"/>
        <v>382.59000000000003</v>
      </c>
      <c r="I110" s="84">
        <f t="shared" si="30"/>
        <v>708.62</v>
      </c>
      <c r="J110" s="84">
        <f t="shared" si="31"/>
        <v>718.62</v>
      </c>
      <c r="K110" s="84">
        <f t="shared" si="49"/>
        <v>330.935</v>
      </c>
      <c r="L110" s="84">
        <f t="shared" si="49"/>
        <v>336.03</v>
      </c>
      <c r="M110" s="91">
        <f t="shared" si="24"/>
        <v>27.2</v>
      </c>
      <c r="N110" s="84">
        <f>IF(ISNUMBER(INDEX('Data input'!I:I, MATCH(A110, 'Data input'!C:C, -1))),INDEX('Data input'!I:I, MATCH(A110, 'Data input'!C:C, -1)),1-SIN(RADIANS(F110)))</f>
        <v>0.54290207294130588</v>
      </c>
      <c r="O110" s="84">
        <f t="shared" si="25"/>
        <v>0.27901376631849217</v>
      </c>
      <c r="P110" s="84" cm="1">
        <f t="array" ref="P110">(IFERROR(
    IF(
        OR(
            INDEX('Data input'!$D:$D, MATCH((A110+B110)/2, 'Data input'!$C$39:$C$117, -1)+36)&lt;&gt;"CLAY",
            INDEX('Data input'!$E:$E, MATCH((A110+B110)/2, 'Data input'!$C$39:$C$117, -1)+36)=0
        ),
        0,
        INDEX('Data input'!$E:$E, MATCH((A110+B110)/2, 'Data input'!$C$39:$C$117, -1)+36)
        +
        (
            (INDEX('Data input'!$F:$F, MATCH((A110+B110)/2, 'Data input'!$C$39:$C$117, -1)+36)
            -
            INDEX('Data input'!$E:$E, MATCH((A110+B110)/2, 'Data input'!$C$39:$C$117, -1)+36))
            /
            (INDEX('Data input'!$C:$C, MATCH((A110+B110)/2, 'Data input'!$C$39:$C$117, -1)+36)
            -
            IF(
                MATCH((A110+B110)/2, 'Data input'!$C$39:$C$117, -1)+36=41,
                -1000,
                INDEX('Data input'!$C:$C, MATCH((A110+B110)/2, 'Data input'!$C$39:$C$117, -1)+37)
            ))
        )
        *
        (INDEX('Data input'!$C:$C, MATCH((A110+B110)/2, 'Data input'!$C$39:$C$117, -1)+36) - (A110+B110)/2)
    ),
    ""
))/gammacu</f>
        <v>0</v>
      </c>
      <c r="Q110" s="84" cm="1">
        <f t="array" ref="Q110">(IFERROR(
    IF(
        OR(
            INDEX('Data input'!$D:$D, MATCH(B110+0.00001, 'Data input'!$C$39:$C$117, -1)+36)&lt;&gt;"CLAY",
            INDEX('Data input'!$E:$E, MATCH(B110+0.00001, 'Data input'!$C$39:$C$117, -1)+36)=0
        ),
        0,
        INDEX('Data input'!$E:$E, MATCH(B110+0.00001, 'Data input'!$C$39:$C$117, -1)+36)
        +
        (
            (INDEX('Data input'!$F:$F, MATCH(B110+0.00001, 'Data input'!$C$39:$C$117, -1)+36)
            -
            INDEX('Data input'!$E:$E, MATCH(B110+0.00001, 'Data input'!$C$39:$C$117, -1)+36))
            /
            (INDEX('Data input'!$C:$C, MATCH(B110+0.00001, 'Data input'!$C$39:$C$117, -1)+36)
            -
            IF(
                MATCH(B110+0.00001, 'Data input'!$C$39:$C$117, -1)+36=41,
                -1000,
                INDEX('Data input'!$C:$C, MATCH(B110+0.00001, 'Data input'!$C$39:$C$117, -1)+37)
            ))
        )
        *
        (INDEX('Data input'!$C:$C, MATCH(B110+0.00001, 'Data input'!$C$39:$C$117, -1)+36) - B110)
    ),
    ""
))/gammacu</f>
        <v>0</v>
      </c>
      <c r="R110" s="84" t="str">
        <f t="shared" si="32"/>
        <v>-</v>
      </c>
      <c r="S110" s="84" t="str">
        <f t="shared" si="33"/>
        <v>-</v>
      </c>
      <c r="T110" s="84">
        <f t="shared" si="34"/>
        <v>21.696017450057067</v>
      </c>
      <c r="U110" s="84">
        <f t="shared" si="35"/>
        <v>92.335420756610205</v>
      </c>
      <c r="V110" s="84">
        <f t="shared" si="36"/>
        <v>61.864731906928839</v>
      </c>
      <c r="W110" s="84">
        <f t="shared" si="37"/>
        <v>4000</v>
      </c>
      <c r="X110" s="84">
        <f t="shared" si="38"/>
        <v>4767.9879267256501</v>
      </c>
      <c r="Y110" s="84">
        <f t="shared" si="39"/>
        <v>4523.8934211693013</v>
      </c>
      <c r="Z110" s="84">
        <f t="shared" si="40"/>
        <v>8097.5734847062558</v>
      </c>
      <c r="AA110" s="84">
        <f t="shared" si="41"/>
        <v>4198.8562504057727</v>
      </c>
      <c r="AB110" s="84">
        <f t="shared" si="42"/>
        <v>92.335420756610205</v>
      </c>
      <c r="AC110" s="84">
        <f t="shared" si="43"/>
        <v>61.864731906928839</v>
      </c>
      <c r="AD110" s="84">
        <f t="shared" si="44"/>
        <v>4000</v>
      </c>
      <c r="AE110" s="84">
        <f t="shared" si="45"/>
        <v>5926.6294990412443</v>
      </c>
      <c r="AF110" s="84">
        <f t="shared" si="46"/>
        <v>4523.8934211693013</v>
      </c>
      <c r="AG110" s="84">
        <f t="shared" si="47"/>
        <v>9256.2150570218491</v>
      </c>
      <c r="AH110" s="84">
        <f t="shared" si="48"/>
        <v>4975.1461038572197</v>
      </c>
    </row>
    <row r="111" spans="1:34" ht="12.95" customHeight="1" x14ac:dyDescent="0.2">
      <c r="A111" s="84">
        <f t="shared" si="26"/>
        <v>-34</v>
      </c>
      <c r="B111" s="84">
        <f t="shared" si="22"/>
        <v>-35</v>
      </c>
      <c r="C111" s="84">
        <f t="shared" si="27"/>
        <v>1221.4512237157121</v>
      </c>
      <c r="D111" s="41" t="str">
        <f>INDEX('Data input'!D:D, MATCH(A111, 'Data input'!C:C, -1))</f>
        <v>SAND</v>
      </c>
      <c r="E111" s="84">
        <f>INDEX('Data input'!H:H, MATCH(A111, 'Data input'!C:C, -1))/gammagamma</f>
        <v>20</v>
      </c>
      <c r="F111" s="91">
        <f>INDEX('Data input'!G:G, MATCH(A111, 'Data input'!C:C, -1))/gammaPhi</f>
        <v>27.2</v>
      </c>
      <c r="G111" s="84">
        <f t="shared" si="28"/>
        <v>387.495</v>
      </c>
      <c r="H111" s="84">
        <f t="shared" si="29"/>
        <v>392.40000000000003</v>
      </c>
      <c r="I111" s="84">
        <f t="shared" si="30"/>
        <v>728.62</v>
      </c>
      <c r="J111" s="84">
        <f t="shared" si="31"/>
        <v>738.62</v>
      </c>
      <c r="K111" s="84">
        <f t="shared" si="49"/>
        <v>341.125</v>
      </c>
      <c r="L111" s="84">
        <f t="shared" si="49"/>
        <v>346.21999999999997</v>
      </c>
      <c r="M111" s="91">
        <f t="shared" si="24"/>
        <v>27.2</v>
      </c>
      <c r="N111" s="84">
        <f>IF(ISNUMBER(INDEX('Data input'!I:I, MATCH(A111, 'Data input'!C:C, -1))),INDEX('Data input'!I:I, MATCH(A111, 'Data input'!C:C, -1)),1-SIN(RADIANS(F111)))</f>
        <v>0.54290207294130588</v>
      </c>
      <c r="O111" s="84">
        <f t="shared" si="25"/>
        <v>0.27901376631849217</v>
      </c>
      <c r="P111" s="84" cm="1">
        <f t="array" ref="P111">(IFERROR(
    IF(
        OR(
            INDEX('Data input'!$D:$D, MATCH((A111+B111)/2, 'Data input'!$C$39:$C$117, -1)+36)&lt;&gt;"CLAY",
            INDEX('Data input'!$E:$E, MATCH((A111+B111)/2, 'Data input'!$C$39:$C$117, -1)+36)=0
        ),
        0,
        INDEX('Data input'!$E:$E, MATCH((A111+B111)/2, 'Data input'!$C$39:$C$117, -1)+36)
        +
        (
            (INDEX('Data input'!$F:$F, MATCH((A111+B111)/2, 'Data input'!$C$39:$C$117, -1)+36)
            -
            INDEX('Data input'!$E:$E, MATCH((A111+B111)/2, 'Data input'!$C$39:$C$117, -1)+36))
            /
            (INDEX('Data input'!$C:$C, MATCH((A111+B111)/2, 'Data input'!$C$39:$C$117, -1)+36)
            -
            IF(
                MATCH((A111+B111)/2, 'Data input'!$C$39:$C$117, -1)+36=41,
                -1000,
                INDEX('Data input'!$C:$C, MATCH((A111+B111)/2, 'Data input'!$C$39:$C$117, -1)+37)
            ))
        )
        *
        (INDEX('Data input'!$C:$C, MATCH((A111+B111)/2, 'Data input'!$C$39:$C$117, -1)+36) - (A111+B111)/2)
    ),
    ""
))/gammacu</f>
        <v>0</v>
      </c>
      <c r="Q111" s="84" cm="1">
        <f t="array" ref="Q111">(IFERROR(
    IF(
        OR(
            INDEX('Data input'!$D:$D, MATCH(B111+0.00001, 'Data input'!$C$39:$C$117, -1)+36)&lt;&gt;"CLAY",
            INDEX('Data input'!$E:$E, MATCH(B111+0.00001, 'Data input'!$C$39:$C$117, -1)+36)=0
        ),
        0,
        INDEX('Data input'!$E:$E, MATCH(B111+0.00001, 'Data input'!$C$39:$C$117, -1)+36)
        +
        (
            (INDEX('Data input'!$F:$F, MATCH(B111+0.00001, 'Data input'!$C$39:$C$117, -1)+36)
            -
            INDEX('Data input'!$E:$E, MATCH(B111+0.00001, 'Data input'!$C$39:$C$117, -1)+36))
            /
            (INDEX('Data input'!$C:$C, MATCH(B111+0.00001, 'Data input'!$C$39:$C$117, -1)+36)
            -
            IF(
                MATCH(B111+0.00001, 'Data input'!$C$39:$C$117, -1)+36=41,
                -1000,
                INDEX('Data input'!$C:$C, MATCH(B111+0.00001, 'Data input'!$C$39:$C$117, -1)+37)
            ))
        )
        *
        (INDEX('Data input'!$C:$C, MATCH(B111+0.00001, 'Data input'!$C$39:$C$117, -1)+36) - B111)
    ),
    ""
))/gammacu</f>
        <v>0</v>
      </c>
      <c r="R111" s="84" t="str">
        <f t="shared" si="32"/>
        <v>-</v>
      </c>
      <c r="S111" s="84" t="str">
        <f t="shared" si="33"/>
        <v>-</v>
      </c>
      <c r="T111" s="84">
        <f t="shared" si="34"/>
        <v>21.696017450057067</v>
      </c>
      <c r="U111" s="84">
        <f t="shared" si="35"/>
        <v>95.178571035395649</v>
      </c>
      <c r="V111" s="84">
        <f t="shared" si="36"/>
        <v>63.769642593715091</v>
      </c>
      <c r="W111" s="84">
        <f t="shared" si="37"/>
        <v>4000</v>
      </c>
      <c r="X111" s="84">
        <f t="shared" si="38"/>
        <v>5126.8026861784183</v>
      </c>
      <c r="Y111" s="84">
        <f t="shared" si="39"/>
        <v>4523.8934211693013</v>
      </c>
      <c r="Z111" s="84">
        <f t="shared" si="40"/>
        <v>8429.2448836320073</v>
      </c>
      <c r="AA111" s="84">
        <f t="shared" si="41"/>
        <v>4466.4054997661433</v>
      </c>
      <c r="AB111" s="84">
        <f t="shared" si="42"/>
        <v>95.178571035395649</v>
      </c>
      <c r="AC111" s="84">
        <f t="shared" si="43"/>
        <v>63.769642593715091</v>
      </c>
      <c r="AD111" s="84">
        <f t="shared" si="44"/>
        <v>4000</v>
      </c>
      <c r="AE111" s="84">
        <f t="shared" si="45"/>
        <v>6285.4442584940125</v>
      </c>
      <c r="AF111" s="84">
        <f t="shared" si="46"/>
        <v>4523.8934211693013</v>
      </c>
      <c r="AG111" s="84">
        <f t="shared" si="47"/>
        <v>9587.8864559476006</v>
      </c>
      <c r="AH111" s="84">
        <f t="shared" si="48"/>
        <v>5242.6953532175903</v>
      </c>
    </row>
    <row r="112" spans="1:34" ht="12.95" customHeight="1" x14ac:dyDescent="0.2">
      <c r="A112" s="84">
        <f t="shared" si="26"/>
        <v>-35</v>
      </c>
      <c r="B112" s="84">
        <f t="shared" si="22"/>
        <v>-36</v>
      </c>
      <c r="C112" s="84">
        <f t="shared" si="27"/>
        <v>1248.5945842427279</v>
      </c>
      <c r="D112" s="41" t="str">
        <f>INDEX('Data input'!D:D, MATCH(A112, 'Data input'!C:C, -1))</f>
        <v>SAND</v>
      </c>
      <c r="E112" s="84">
        <f>INDEX('Data input'!H:H, MATCH(A112, 'Data input'!C:C, -1))/gammagamma</f>
        <v>20</v>
      </c>
      <c r="F112" s="91">
        <f>INDEX('Data input'!G:G, MATCH(A112, 'Data input'!C:C, -1))/gammaPhi</f>
        <v>27.2</v>
      </c>
      <c r="G112" s="84">
        <f t="shared" si="28"/>
        <v>397.30500000000001</v>
      </c>
      <c r="H112" s="84">
        <f t="shared" si="29"/>
        <v>402.21000000000004</v>
      </c>
      <c r="I112" s="84">
        <f t="shared" si="30"/>
        <v>748.62</v>
      </c>
      <c r="J112" s="84">
        <f t="shared" si="31"/>
        <v>758.62</v>
      </c>
      <c r="K112" s="84">
        <f t="shared" si="49"/>
        <v>351.315</v>
      </c>
      <c r="L112" s="84">
        <f t="shared" si="49"/>
        <v>356.40999999999997</v>
      </c>
      <c r="M112" s="91">
        <f t="shared" si="24"/>
        <v>27.2</v>
      </c>
      <c r="N112" s="84">
        <f>IF(ISNUMBER(INDEX('Data input'!I:I, MATCH(A112, 'Data input'!C:C, -1))),INDEX('Data input'!I:I, MATCH(A112, 'Data input'!C:C, -1)),1-SIN(RADIANS(F112)))</f>
        <v>0.54290207294130588</v>
      </c>
      <c r="O112" s="84">
        <f t="shared" si="25"/>
        <v>0.27901376631849217</v>
      </c>
      <c r="P112" s="84" cm="1">
        <f t="array" ref="P112">(IFERROR(
    IF(
        OR(
            INDEX('Data input'!$D:$D, MATCH((A112+B112)/2, 'Data input'!$C$39:$C$117, -1)+36)&lt;&gt;"CLAY",
            INDEX('Data input'!$E:$E, MATCH((A112+B112)/2, 'Data input'!$C$39:$C$117, -1)+36)=0
        ),
        0,
        INDEX('Data input'!$E:$E, MATCH((A112+B112)/2, 'Data input'!$C$39:$C$117, -1)+36)
        +
        (
            (INDEX('Data input'!$F:$F, MATCH((A112+B112)/2, 'Data input'!$C$39:$C$117, -1)+36)
            -
            INDEX('Data input'!$E:$E, MATCH((A112+B112)/2, 'Data input'!$C$39:$C$117, -1)+36))
            /
            (INDEX('Data input'!$C:$C, MATCH((A112+B112)/2, 'Data input'!$C$39:$C$117, -1)+36)
            -
            IF(
                MATCH((A112+B112)/2, 'Data input'!$C$39:$C$117, -1)+36=41,
                -1000,
                INDEX('Data input'!$C:$C, MATCH((A112+B112)/2, 'Data input'!$C$39:$C$117, -1)+37)
            ))
        )
        *
        (INDEX('Data input'!$C:$C, MATCH((A112+B112)/2, 'Data input'!$C$39:$C$117, -1)+36) - (A112+B112)/2)
    ),
    ""
))/gammacu</f>
        <v>0</v>
      </c>
      <c r="Q112" s="84" cm="1">
        <f t="array" ref="Q112">(IFERROR(
    IF(
        OR(
            INDEX('Data input'!$D:$D, MATCH(B112+0.00001, 'Data input'!$C$39:$C$117, -1)+36)&lt;&gt;"CLAY",
            INDEX('Data input'!$E:$E, MATCH(B112+0.00001, 'Data input'!$C$39:$C$117, -1)+36)=0
        ),
        0,
        INDEX('Data input'!$E:$E, MATCH(B112+0.00001, 'Data input'!$C$39:$C$117, -1)+36)
        +
        (
            (INDEX('Data input'!$F:$F, MATCH(B112+0.00001, 'Data input'!$C$39:$C$117, -1)+36)
            -
            INDEX('Data input'!$E:$E, MATCH(B112+0.00001, 'Data input'!$C$39:$C$117, -1)+36))
            /
            (INDEX('Data input'!$C:$C, MATCH(B112+0.00001, 'Data input'!$C$39:$C$117, -1)+36)
            -
            IF(
                MATCH(B112+0.00001, 'Data input'!$C$39:$C$117, -1)+36=41,
                -1000,
                INDEX('Data input'!$C:$C, MATCH(B112+0.00001, 'Data input'!$C$39:$C$117, -1)+37)
            ))
        )
        *
        (INDEX('Data input'!$C:$C, MATCH(B112+0.00001, 'Data input'!$C$39:$C$117, -1)+36) - B112)
    ),
    ""
))/gammacu</f>
        <v>0</v>
      </c>
      <c r="R112" s="84" t="str">
        <f t="shared" si="32"/>
        <v>-</v>
      </c>
      <c r="S112" s="84" t="str">
        <f t="shared" si="33"/>
        <v>-</v>
      </c>
      <c r="T112" s="84">
        <f t="shared" si="34"/>
        <v>21.696017450057067</v>
      </c>
      <c r="U112" s="84">
        <f t="shared" si="35"/>
        <v>98.021721314181079</v>
      </c>
      <c r="V112" s="84">
        <f t="shared" si="36"/>
        <v>65.674553280501328</v>
      </c>
      <c r="W112" s="84">
        <f t="shared" si="37"/>
        <v>4000</v>
      </c>
      <c r="X112" s="84">
        <f t="shared" si="38"/>
        <v>5496.335869665847</v>
      </c>
      <c r="Y112" s="84">
        <f t="shared" si="39"/>
        <v>4523.8934211693013</v>
      </c>
      <c r="Z112" s="84">
        <f t="shared" si="40"/>
        <v>8771.6347065924201</v>
      </c>
      <c r="AA112" s="84">
        <f t="shared" si="41"/>
        <v>4741.1360932297366</v>
      </c>
      <c r="AB112" s="84">
        <f t="shared" si="42"/>
        <v>98.021721314181079</v>
      </c>
      <c r="AC112" s="84">
        <f t="shared" si="43"/>
        <v>65.674553280501328</v>
      </c>
      <c r="AD112" s="84">
        <f t="shared" si="44"/>
        <v>4000</v>
      </c>
      <c r="AE112" s="84">
        <f t="shared" si="45"/>
        <v>6654.9774419814412</v>
      </c>
      <c r="AF112" s="84">
        <f t="shared" si="46"/>
        <v>4523.8934211693013</v>
      </c>
      <c r="AG112" s="84">
        <f t="shared" si="47"/>
        <v>9930.2762789080152</v>
      </c>
      <c r="AH112" s="84">
        <f t="shared" si="48"/>
        <v>5517.4259466811836</v>
      </c>
    </row>
    <row r="113" spans="1:34" ht="12.95" customHeight="1" x14ac:dyDescent="0.2">
      <c r="A113" s="84">
        <f t="shared" si="26"/>
        <v>-36</v>
      </c>
      <c r="B113" s="84">
        <f t="shared" si="22"/>
        <v>-37</v>
      </c>
      <c r="C113" s="84">
        <f t="shared" si="27"/>
        <v>1275.7379447697438</v>
      </c>
      <c r="D113" s="41" t="str">
        <f>INDEX('Data input'!D:D, MATCH(A113, 'Data input'!C:C, -1))</f>
        <v>SAND</v>
      </c>
      <c r="E113" s="84">
        <f>INDEX('Data input'!H:H, MATCH(A113, 'Data input'!C:C, -1))/gammagamma</f>
        <v>20</v>
      </c>
      <c r="F113" s="91">
        <f>INDEX('Data input'!G:G, MATCH(A113, 'Data input'!C:C, -1))/gammaPhi</f>
        <v>27.2</v>
      </c>
      <c r="G113" s="84">
        <f t="shared" si="28"/>
        <v>407.11500000000001</v>
      </c>
      <c r="H113" s="84">
        <f t="shared" si="29"/>
        <v>412.02000000000004</v>
      </c>
      <c r="I113" s="84">
        <f t="shared" si="30"/>
        <v>768.62</v>
      </c>
      <c r="J113" s="84">
        <f t="shared" si="31"/>
        <v>778.62</v>
      </c>
      <c r="K113" s="84">
        <f t="shared" si="49"/>
        <v>361.505</v>
      </c>
      <c r="L113" s="84">
        <f t="shared" si="49"/>
        <v>366.59999999999997</v>
      </c>
      <c r="M113" s="91">
        <f t="shared" si="24"/>
        <v>27.2</v>
      </c>
      <c r="N113" s="84">
        <f>IF(ISNUMBER(INDEX('Data input'!I:I, MATCH(A113, 'Data input'!C:C, -1))),INDEX('Data input'!I:I, MATCH(A113, 'Data input'!C:C, -1)),1-SIN(RADIANS(F113)))</f>
        <v>0.54290207294130588</v>
      </c>
      <c r="O113" s="84">
        <f t="shared" si="25"/>
        <v>0.27901376631849217</v>
      </c>
      <c r="P113" s="84" cm="1">
        <f t="array" ref="P113">(IFERROR(
    IF(
        OR(
            INDEX('Data input'!$D:$D, MATCH((A113+B113)/2, 'Data input'!$C$39:$C$117, -1)+36)&lt;&gt;"CLAY",
            INDEX('Data input'!$E:$E, MATCH((A113+B113)/2, 'Data input'!$C$39:$C$117, -1)+36)=0
        ),
        0,
        INDEX('Data input'!$E:$E, MATCH((A113+B113)/2, 'Data input'!$C$39:$C$117, -1)+36)
        +
        (
            (INDEX('Data input'!$F:$F, MATCH((A113+B113)/2, 'Data input'!$C$39:$C$117, -1)+36)
            -
            INDEX('Data input'!$E:$E, MATCH((A113+B113)/2, 'Data input'!$C$39:$C$117, -1)+36))
            /
            (INDEX('Data input'!$C:$C, MATCH((A113+B113)/2, 'Data input'!$C$39:$C$117, -1)+36)
            -
            IF(
                MATCH((A113+B113)/2, 'Data input'!$C$39:$C$117, -1)+36=41,
                -1000,
                INDEX('Data input'!$C:$C, MATCH((A113+B113)/2, 'Data input'!$C$39:$C$117, -1)+37)
            ))
        )
        *
        (INDEX('Data input'!$C:$C, MATCH((A113+B113)/2, 'Data input'!$C$39:$C$117, -1)+36) - (A113+B113)/2)
    ),
    ""
))/gammacu</f>
        <v>0</v>
      </c>
      <c r="Q113" s="84" cm="1">
        <f t="array" ref="Q113">(IFERROR(
    IF(
        OR(
            INDEX('Data input'!$D:$D, MATCH(B113+0.00001, 'Data input'!$C$39:$C$117, -1)+36)&lt;&gt;"CLAY",
            INDEX('Data input'!$E:$E, MATCH(B113+0.00001, 'Data input'!$C$39:$C$117, -1)+36)=0
        ),
        0,
        INDEX('Data input'!$E:$E, MATCH(B113+0.00001, 'Data input'!$C$39:$C$117, -1)+36)
        +
        (
            (INDEX('Data input'!$F:$F, MATCH(B113+0.00001, 'Data input'!$C$39:$C$117, -1)+36)
            -
            INDEX('Data input'!$E:$E, MATCH(B113+0.00001, 'Data input'!$C$39:$C$117, -1)+36))
            /
            (INDEX('Data input'!$C:$C, MATCH(B113+0.00001, 'Data input'!$C$39:$C$117, -1)+36)
            -
            IF(
                MATCH(B113+0.00001, 'Data input'!$C$39:$C$117, -1)+36=41,
                -1000,
                INDEX('Data input'!$C:$C, MATCH(B113+0.00001, 'Data input'!$C$39:$C$117, -1)+37)
            ))
        )
        *
        (INDEX('Data input'!$C:$C, MATCH(B113+0.00001, 'Data input'!$C$39:$C$117, -1)+36) - B113)
    ),
    ""
))/gammacu</f>
        <v>0</v>
      </c>
      <c r="R113" s="84" t="str">
        <f t="shared" si="32"/>
        <v>-</v>
      </c>
      <c r="S113" s="84" t="str">
        <f t="shared" si="33"/>
        <v>-</v>
      </c>
      <c r="T113" s="84">
        <f t="shared" si="34"/>
        <v>21.696017450057067</v>
      </c>
      <c r="U113" s="84">
        <f t="shared" si="35"/>
        <v>100</v>
      </c>
      <c r="V113" s="84">
        <f t="shared" si="36"/>
        <v>67</v>
      </c>
      <c r="W113" s="84">
        <f t="shared" si="37"/>
        <v>4000</v>
      </c>
      <c r="X113" s="84">
        <f t="shared" si="38"/>
        <v>5873.3269880966218</v>
      </c>
      <c r="Y113" s="84">
        <f t="shared" si="39"/>
        <v>4523.8934211693013</v>
      </c>
      <c r="Z113" s="84">
        <f t="shared" si="40"/>
        <v>9121.4824644961791</v>
      </c>
      <c r="AA113" s="84">
        <f t="shared" si="41"/>
        <v>5020.8635031053718</v>
      </c>
      <c r="AB113" s="84">
        <f t="shared" si="42"/>
        <v>100</v>
      </c>
      <c r="AC113" s="84">
        <f t="shared" si="43"/>
        <v>67</v>
      </c>
      <c r="AD113" s="84">
        <f t="shared" si="44"/>
        <v>4000</v>
      </c>
      <c r="AE113" s="84">
        <f t="shared" si="45"/>
        <v>7031.968560412216</v>
      </c>
      <c r="AF113" s="84">
        <f t="shared" si="46"/>
        <v>4523.8934211693013</v>
      </c>
      <c r="AG113" s="84">
        <f t="shared" si="47"/>
        <v>10280.124036811774</v>
      </c>
      <c r="AH113" s="84">
        <f t="shared" si="48"/>
        <v>5797.1533565568188</v>
      </c>
    </row>
    <row r="114" spans="1:34" ht="12.95" customHeight="1" x14ac:dyDescent="0.2">
      <c r="A114" s="84">
        <f t="shared" si="26"/>
        <v>-37</v>
      </c>
      <c r="B114" s="84">
        <f t="shared" si="22"/>
        <v>-38</v>
      </c>
      <c r="C114" s="84">
        <f t="shared" si="27"/>
        <v>1302.8813052967596</v>
      </c>
      <c r="D114" s="41" t="str">
        <f>INDEX('Data input'!D:D, MATCH(A114, 'Data input'!C:C, -1))</f>
        <v>SAND</v>
      </c>
      <c r="E114" s="84">
        <f>INDEX('Data input'!H:H, MATCH(A114, 'Data input'!C:C, -1))/gammagamma</f>
        <v>20</v>
      </c>
      <c r="F114" s="91">
        <f>INDEX('Data input'!G:G, MATCH(A114, 'Data input'!C:C, -1))/gammaPhi</f>
        <v>27.2</v>
      </c>
      <c r="G114" s="84">
        <f t="shared" si="28"/>
        <v>416.92500000000001</v>
      </c>
      <c r="H114" s="84">
        <f t="shared" si="29"/>
        <v>421.83000000000004</v>
      </c>
      <c r="I114" s="84">
        <f t="shared" si="30"/>
        <v>788.62</v>
      </c>
      <c r="J114" s="84">
        <f t="shared" si="31"/>
        <v>798.62</v>
      </c>
      <c r="K114" s="84">
        <f t="shared" si="49"/>
        <v>371.69499999999999</v>
      </c>
      <c r="L114" s="84">
        <f t="shared" si="49"/>
        <v>376.78999999999996</v>
      </c>
      <c r="M114" s="91">
        <f t="shared" si="24"/>
        <v>27.2</v>
      </c>
      <c r="N114" s="84">
        <f>IF(ISNUMBER(INDEX('Data input'!I:I, MATCH(A114, 'Data input'!C:C, -1))),INDEX('Data input'!I:I, MATCH(A114, 'Data input'!C:C, -1)),1-SIN(RADIANS(F114)))</f>
        <v>0.54290207294130588</v>
      </c>
      <c r="O114" s="84">
        <f t="shared" si="25"/>
        <v>0.27901376631849217</v>
      </c>
      <c r="P114" s="84" cm="1">
        <f t="array" ref="P114">(IFERROR(
    IF(
        OR(
            INDEX('Data input'!$D:$D, MATCH((A114+B114)/2, 'Data input'!$C$39:$C$117, -1)+36)&lt;&gt;"CLAY",
            INDEX('Data input'!$E:$E, MATCH((A114+B114)/2, 'Data input'!$C$39:$C$117, -1)+36)=0
        ),
        0,
        INDEX('Data input'!$E:$E, MATCH((A114+B114)/2, 'Data input'!$C$39:$C$117, -1)+36)
        +
        (
            (INDEX('Data input'!$F:$F, MATCH((A114+B114)/2, 'Data input'!$C$39:$C$117, -1)+36)
            -
            INDEX('Data input'!$E:$E, MATCH((A114+B114)/2, 'Data input'!$C$39:$C$117, -1)+36))
            /
            (INDEX('Data input'!$C:$C, MATCH((A114+B114)/2, 'Data input'!$C$39:$C$117, -1)+36)
            -
            IF(
                MATCH((A114+B114)/2, 'Data input'!$C$39:$C$117, -1)+36=41,
                -1000,
                INDEX('Data input'!$C:$C, MATCH((A114+B114)/2, 'Data input'!$C$39:$C$117, -1)+37)
            ))
        )
        *
        (INDEX('Data input'!$C:$C, MATCH((A114+B114)/2, 'Data input'!$C$39:$C$117, -1)+36) - (A114+B114)/2)
    ),
    ""
))/gammacu</f>
        <v>0</v>
      </c>
      <c r="Q114" s="84" cm="1">
        <f t="array" ref="Q114">(IFERROR(
    IF(
        OR(
            INDEX('Data input'!$D:$D, MATCH(B114+0.00001, 'Data input'!$C$39:$C$117, -1)+36)&lt;&gt;"CLAY",
            INDEX('Data input'!$E:$E, MATCH(B114+0.00001, 'Data input'!$C$39:$C$117, -1)+36)=0
        ),
        0,
        INDEX('Data input'!$E:$E, MATCH(B114+0.00001, 'Data input'!$C$39:$C$117, -1)+36)
        +
        (
            (INDEX('Data input'!$F:$F, MATCH(B114+0.00001, 'Data input'!$C$39:$C$117, -1)+36)
            -
            INDEX('Data input'!$E:$E, MATCH(B114+0.00001, 'Data input'!$C$39:$C$117, -1)+36))
            /
            (INDEX('Data input'!$C:$C, MATCH(B114+0.00001, 'Data input'!$C$39:$C$117, -1)+36)
            -
            IF(
                MATCH(B114+0.00001, 'Data input'!$C$39:$C$117, -1)+36=41,
                -1000,
                INDEX('Data input'!$C:$C, MATCH(B114+0.00001, 'Data input'!$C$39:$C$117, -1)+37)
            ))
        )
        *
        (INDEX('Data input'!$C:$C, MATCH(B114+0.00001, 'Data input'!$C$39:$C$117, -1)+36) - B114)
    ),
    ""
))/gammacu</f>
        <v>0</v>
      </c>
      <c r="R114" s="84" t="str">
        <f t="shared" si="32"/>
        <v>-</v>
      </c>
      <c r="S114" s="84" t="str">
        <f t="shared" si="33"/>
        <v>-</v>
      </c>
      <c r="T114" s="84">
        <f t="shared" si="34"/>
        <v>21.696017450057067</v>
      </c>
      <c r="U114" s="84">
        <f t="shared" si="35"/>
        <v>100</v>
      </c>
      <c r="V114" s="84">
        <f t="shared" si="36"/>
        <v>67</v>
      </c>
      <c r="W114" s="84">
        <f t="shared" si="37"/>
        <v>4000</v>
      </c>
      <c r="X114" s="84">
        <f t="shared" si="38"/>
        <v>6250.3181065273966</v>
      </c>
      <c r="Y114" s="84">
        <f t="shared" si="39"/>
        <v>4523.8934211693013</v>
      </c>
      <c r="Z114" s="84">
        <f t="shared" si="40"/>
        <v>9471.3302223999381</v>
      </c>
      <c r="AA114" s="84">
        <f t="shared" si="41"/>
        <v>5300.590912981007</v>
      </c>
      <c r="AB114" s="84">
        <f t="shared" si="42"/>
        <v>100</v>
      </c>
      <c r="AC114" s="84">
        <f t="shared" si="43"/>
        <v>67</v>
      </c>
      <c r="AD114" s="84">
        <f t="shared" si="44"/>
        <v>4000</v>
      </c>
      <c r="AE114" s="84">
        <f t="shared" si="45"/>
        <v>7408.9596788429908</v>
      </c>
      <c r="AF114" s="84">
        <f t="shared" si="46"/>
        <v>4523.8934211693013</v>
      </c>
      <c r="AG114" s="84">
        <f t="shared" si="47"/>
        <v>10629.971794715533</v>
      </c>
      <c r="AH114" s="84">
        <f t="shared" si="48"/>
        <v>6076.880766432454</v>
      </c>
    </row>
    <row r="115" spans="1:34" ht="12.95" customHeight="1" x14ac:dyDescent="0.2">
      <c r="A115" s="84">
        <f t="shared" si="26"/>
        <v>-38</v>
      </c>
      <c r="B115" s="84">
        <f t="shared" si="22"/>
        <v>-39</v>
      </c>
      <c r="C115" s="84">
        <f t="shared" si="27"/>
        <v>1330.0246658237754</v>
      </c>
      <c r="D115" s="41" t="str">
        <f>INDEX('Data input'!D:D, MATCH(A115, 'Data input'!C:C, -1))</f>
        <v>SAND</v>
      </c>
      <c r="E115" s="84">
        <f>INDEX('Data input'!H:H, MATCH(A115, 'Data input'!C:C, -1))/gammagamma</f>
        <v>20</v>
      </c>
      <c r="F115" s="91">
        <f>INDEX('Data input'!G:G, MATCH(A115, 'Data input'!C:C, -1))/gammaPhi</f>
        <v>27.2</v>
      </c>
      <c r="G115" s="84">
        <f t="shared" si="28"/>
        <v>426.73500000000001</v>
      </c>
      <c r="H115" s="84">
        <f t="shared" si="29"/>
        <v>431.64000000000004</v>
      </c>
      <c r="I115" s="84">
        <f t="shared" si="30"/>
        <v>808.62</v>
      </c>
      <c r="J115" s="84">
        <f t="shared" si="31"/>
        <v>818.62</v>
      </c>
      <c r="K115" s="84">
        <f t="shared" si="49"/>
        <v>381.88499999999999</v>
      </c>
      <c r="L115" s="84">
        <f t="shared" si="49"/>
        <v>386.97999999999996</v>
      </c>
      <c r="M115" s="91">
        <f t="shared" si="24"/>
        <v>27.2</v>
      </c>
      <c r="N115" s="84">
        <f>IF(ISNUMBER(INDEX('Data input'!I:I, MATCH(A115, 'Data input'!C:C, -1))),INDEX('Data input'!I:I, MATCH(A115, 'Data input'!C:C, -1)),1-SIN(RADIANS(F115)))</f>
        <v>0.54290207294130588</v>
      </c>
      <c r="O115" s="84">
        <f t="shared" si="25"/>
        <v>0.27901376631849217</v>
      </c>
      <c r="P115" s="84" cm="1">
        <f t="array" ref="P115">(IFERROR(
    IF(
        OR(
            INDEX('Data input'!$D:$D, MATCH((A115+B115)/2, 'Data input'!$C$39:$C$117, -1)+36)&lt;&gt;"CLAY",
            INDEX('Data input'!$E:$E, MATCH((A115+B115)/2, 'Data input'!$C$39:$C$117, -1)+36)=0
        ),
        0,
        INDEX('Data input'!$E:$E, MATCH((A115+B115)/2, 'Data input'!$C$39:$C$117, -1)+36)
        +
        (
            (INDEX('Data input'!$F:$F, MATCH((A115+B115)/2, 'Data input'!$C$39:$C$117, -1)+36)
            -
            INDEX('Data input'!$E:$E, MATCH((A115+B115)/2, 'Data input'!$C$39:$C$117, -1)+36))
            /
            (INDEX('Data input'!$C:$C, MATCH((A115+B115)/2, 'Data input'!$C$39:$C$117, -1)+36)
            -
            IF(
                MATCH((A115+B115)/2, 'Data input'!$C$39:$C$117, -1)+36=41,
                -1000,
                INDEX('Data input'!$C:$C, MATCH((A115+B115)/2, 'Data input'!$C$39:$C$117, -1)+37)
            ))
        )
        *
        (INDEX('Data input'!$C:$C, MATCH((A115+B115)/2, 'Data input'!$C$39:$C$117, -1)+36) - (A115+B115)/2)
    ),
    ""
))/gammacu</f>
        <v>0</v>
      </c>
      <c r="Q115" s="84" cm="1">
        <f t="array" ref="Q115">(IFERROR(
    IF(
        OR(
            INDEX('Data input'!$D:$D, MATCH(B115+0.00001, 'Data input'!$C$39:$C$117, -1)+36)&lt;&gt;"CLAY",
            INDEX('Data input'!$E:$E, MATCH(B115+0.00001, 'Data input'!$C$39:$C$117, -1)+36)=0
        ),
        0,
        INDEX('Data input'!$E:$E, MATCH(B115+0.00001, 'Data input'!$C$39:$C$117, -1)+36)
        +
        (
            (INDEX('Data input'!$F:$F, MATCH(B115+0.00001, 'Data input'!$C$39:$C$117, -1)+36)
            -
            INDEX('Data input'!$E:$E, MATCH(B115+0.00001, 'Data input'!$C$39:$C$117, -1)+36))
            /
            (INDEX('Data input'!$C:$C, MATCH(B115+0.00001, 'Data input'!$C$39:$C$117, -1)+36)
            -
            IF(
                MATCH(B115+0.00001, 'Data input'!$C$39:$C$117, -1)+36=41,
                -1000,
                INDEX('Data input'!$C:$C, MATCH(B115+0.00001, 'Data input'!$C$39:$C$117, -1)+37)
            ))
        )
        *
        (INDEX('Data input'!$C:$C, MATCH(B115+0.00001, 'Data input'!$C$39:$C$117, -1)+36) - B115)
    ),
    ""
))/gammacu</f>
        <v>0</v>
      </c>
      <c r="R115" s="84" t="str">
        <f t="shared" si="32"/>
        <v>-</v>
      </c>
      <c r="S115" s="84" t="str">
        <f t="shared" si="33"/>
        <v>-</v>
      </c>
      <c r="T115" s="84">
        <f t="shared" si="34"/>
        <v>21.696017450057067</v>
      </c>
      <c r="U115" s="84">
        <f t="shared" si="35"/>
        <v>100</v>
      </c>
      <c r="V115" s="84">
        <f t="shared" si="36"/>
        <v>67</v>
      </c>
      <c r="W115" s="84">
        <f t="shared" si="37"/>
        <v>4000</v>
      </c>
      <c r="X115" s="84">
        <f t="shared" si="38"/>
        <v>6627.3092249581714</v>
      </c>
      <c r="Y115" s="84">
        <f t="shared" si="39"/>
        <v>4523.8934211693013</v>
      </c>
      <c r="Z115" s="84">
        <f t="shared" si="40"/>
        <v>9821.177980303697</v>
      </c>
      <c r="AA115" s="84">
        <f t="shared" si="41"/>
        <v>5580.3183228566422</v>
      </c>
      <c r="AB115" s="84">
        <f t="shared" si="42"/>
        <v>100</v>
      </c>
      <c r="AC115" s="84">
        <f t="shared" si="43"/>
        <v>67</v>
      </c>
      <c r="AD115" s="84">
        <f t="shared" si="44"/>
        <v>4000</v>
      </c>
      <c r="AE115" s="84">
        <f t="shared" si="45"/>
        <v>7785.9507972737656</v>
      </c>
      <c r="AF115" s="84">
        <f t="shared" si="46"/>
        <v>4523.8934211693013</v>
      </c>
      <c r="AG115" s="84">
        <f t="shared" si="47"/>
        <v>10979.819552619292</v>
      </c>
      <c r="AH115" s="84">
        <f t="shared" si="48"/>
        <v>6356.6081763080892</v>
      </c>
    </row>
    <row r="116" spans="1:34" ht="12.95" customHeight="1" x14ac:dyDescent="0.2">
      <c r="A116" s="84">
        <f t="shared" si="26"/>
        <v>-39</v>
      </c>
      <c r="B116" s="84">
        <f>MIN(A116-1,F37)</f>
        <v>-40</v>
      </c>
      <c r="C116" s="84">
        <f t="shared" si="27"/>
        <v>1357.1680263507913</v>
      </c>
      <c r="D116" s="41" t="str">
        <f>INDEX('Data input'!D:D, MATCH(A116, 'Data input'!C:C, -1))</f>
        <v>SAND</v>
      </c>
      <c r="E116" s="84">
        <f>INDEX('Data input'!H:H, MATCH(A116, 'Data input'!C:C, -1))/gammagamma</f>
        <v>20</v>
      </c>
      <c r="F116" s="91">
        <f>INDEX('Data input'!G:G, MATCH(A116, 'Data input'!C:C, -1))/gammaPhi</f>
        <v>27.2</v>
      </c>
      <c r="G116" s="84">
        <f t="shared" si="28"/>
        <v>436.54500000000002</v>
      </c>
      <c r="H116" s="84">
        <f t="shared" si="29"/>
        <v>441.45000000000005</v>
      </c>
      <c r="I116" s="84">
        <f t="shared" si="30"/>
        <v>828.62</v>
      </c>
      <c r="J116" s="84">
        <f t="shared" si="31"/>
        <v>838.62</v>
      </c>
      <c r="K116" s="84">
        <f t="shared" si="49"/>
        <v>392.07499999999999</v>
      </c>
      <c r="L116" s="84">
        <f t="shared" si="49"/>
        <v>397.16999999999996</v>
      </c>
      <c r="M116" s="91">
        <f t="shared" si="24"/>
        <v>27.2</v>
      </c>
      <c r="N116" s="84">
        <f>IF(ISNUMBER(INDEX('Data input'!I:I, MATCH(A116, 'Data input'!C:C, -1))),INDEX('Data input'!I:I, MATCH(A116, 'Data input'!C:C, -1)),1-SIN(RADIANS(F116)))</f>
        <v>0.54290207294130588</v>
      </c>
      <c r="O116" s="84">
        <f t="shared" si="25"/>
        <v>0.27901376631849217</v>
      </c>
      <c r="P116" s="84" cm="1">
        <f t="array" ref="P116">(IFERROR(
    IF(
        OR(
            INDEX('Data input'!$D:$D, MATCH((A116+B116)/2, 'Data input'!$C$39:$C$117, -1)+36)&lt;&gt;"CLAY",
            INDEX('Data input'!$E:$E, MATCH((A116+B116)/2, 'Data input'!$C$39:$C$117, -1)+36)=0
        ),
        0,
        INDEX('Data input'!$E:$E, MATCH((A116+B116)/2, 'Data input'!$C$39:$C$117, -1)+36)
        +
        (
            (INDEX('Data input'!$F:$F, MATCH((A116+B116)/2, 'Data input'!$C$39:$C$117, -1)+36)
            -
            INDEX('Data input'!$E:$E, MATCH((A116+B116)/2, 'Data input'!$C$39:$C$117, -1)+36))
            /
            (INDEX('Data input'!$C:$C, MATCH((A116+B116)/2, 'Data input'!$C$39:$C$117, -1)+36)
            -
            IF(
                MATCH((A116+B116)/2, 'Data input'!$C$39:$C$117, -1)+36=41,
                -1000,
                INDEX('Data input'!$C:$C, MATCH((A116+B116)/2, 'Data input'!$C$39:$C$117, -1)+37)
            ))
        )
        *
        (INDEX('Data input'!$C:$C, MATCH((A116+B116)/2, 'Data input'!$C$39:$C$117, -1)+36) - (A116+B116)/2)
    ),
    ""
))/gammacu</f>
        <v>0</v>
      </c>
      <c r="Q116" s="84" cm="1">
        <f t="array" ref="Q116">(IFERROR(
    IF(
        OR(
            INDEX('Data input'!$D:$D, MATCH(B116+0.00001, 'Data input'!$C$39:$C$117, -1)+36)&lt;&gt;"CLAY",
            INDEX('Data input'!$E:$E, MATCH(B116+0.00001, 'Data input'!$C$39:$C$117, -1)+36)=0
        ),
        0,
        INDEX('Data input'!$E:$E, MATCH(B116+0.00001, 'Data input'!$C$39:$C$117, -1)+36)
        +
        (
            (INDEX('Data input'!$F:$F, MATCH(B116+0.00001, 'Data input'!$C$39:$C$117, -1)+36)
            -
            INDEX('Data input'!$E:$E, MATCH(B116+0.00001, 'Data input'!$C$39:$C$117, -1)+36))
            /
            (INDEX('Data input'!$C:$C, MATCH(B116+0.00001, 'Data input'!$C$39:$C$117, -1)+36)
            -
            IF(
                MATCH(B116+0.00001, 'Data input'!$C$39:$C$117, -1)+36=41,
                -1000,
                INDEX('Data input'!$C:$C, MATCH(B116+0.00001, 'Data input'!$C$39:$C$117, -1)+37)
            ))
        )
        *
        (INDEX('Data input'!$C:$C, MATCH(B116+0.00001, 'Data input'!$C$39:$C$117, -1)+36) - B116)
    ),
    ""
))/gammacu</f>
        <v>0</v>
      </c>
      <c r="R116" s="84" t="str">
        <f t="shared" si="32"/>
        <v>-</v>
      </c>
      <c r="S116" s="84" t="str">
        <f t="shared" si="33"/>
        <v>-</v>
      </c>
      <c r="T116" s="84">
        <f t="shared" si="34"/>
        <v>21.696017450057067</v>
      </c>
      <c r="U116" s="84">
        <f t="shared" si="35"/>
        <v>100</v>
      </c>
      <c r="V116" s="84">
        <f t="shared" si="36"/>
        <v>67</v>
      </c>
      <c r="W116" s="84">
        <f t="shared" si="37"/>
        <v>4000</v>
      </c>
      <c r="X116" s="84">
        <f t="shared" si="38"/>
        <v>7004.3003433889462</v>
      </c>
      <c r="Y116" s="84">
        <f t="shared" si="39"/>
        <v>4523.8934211693013</v>
      </c>
      <c r="Z116" s="84">
        <f t="shared" si="40"/>
        <v>10171.025738207456</v>
      </c>
      <c r="AA116" s="84">
        <f t="shared" si="41"/>
        <v>5860.0457327322774</v>
      </c>
      <c r="AB116" s="84">
        <f t="shared" si="42"/>
        <v>100</v>
      </c>
      <c r="AC116" s="84">
        <f t="shared" si="43"/>
        <v>67</v>
      </c>
      <c r="AD116" s="84">
        <f t="shared" si="44"/>
        <v>4000</v>
      </c>
      <c r="AE116" s="84">
        <f t="shared" si="45"/>
        <v>8162.9419157045404</v>
      </c>
      <c r="AF116" s="84">
        <f t="shared" si="46"/>
        <v>4523.8934211693013</v>
      </c>
      <c r="AG116" s="84">
        <f t="shared" si="47"/>
        <v>11329.667310523051</v>
      </c>
      <c r="AH116" s="84">
        <f t="shared" si="48"/>
        <v>6636.3355861837244</v>
      </c>
    </row>
    <row r="117" spans="1:34" ht="12.95" customHeight="1" x14ac:dyDescent="0.2">
      <c r="A117" s="63"/>
      <c r="B117" s="63"/>
      <c r="C117" s="63"/>
      <c r="D117" s="6"/>
      <c r="E117" s="63"/>
      <c r="F117" s="63"/>
      <c r="G117" s="63"/>
      <c r="H117" s="63"/>
      <c r="I117" s="63"/>
      <c r="J117" s="63"/>
      <c r="K117" s="63"/>
      <c r="L117" s="63"/>
      <c r="M117" s="63"/>
      <c r="N117" s="63"/>
      <c r="O117" s="63"/>
      <c r="P117" s="63"/>
      <c r="Q117" s="63"/>
      <c r="R117" s="63"/>
      <c r="S117" s="63"/>
      <c r="T117" s="63"/>
      <c r="U117" s="63"/>
      <c r="V117" s="63"/>
      <c r="W117" s="63"/>
      <c r="X117" s="63"/>
      <c r="Y117" s="63"/>
      <c r="Z117" s="63"/>
      <c r="AA117" s="63"/>
      <c r="AB117" s="63"/>
      <c r="AC117" s="63"/>
      <c r="AD117" s="63"/>
      <c r="AE117" s="63"/>
      <c r="AF117" s="63"/>
      <c r="AG117" s="63"/>
      <c r="AH117" s="63"/>
    </row>
    <row r="118" spans="1:34" ht="12.95" customHeight="1" x14ac:dyDescent="0.2">
      <c r="A118" s="63"/>
      <c r="B118" s="63"/>
      <c r="C118" s="63"/>
      <c r="D118" s="6"/>
      <c r="E118" s="63"/>
      <c r="F118" s="63"/>
      <c r="G118" s="63"/>
      <c r="H118" s="63"/>
      <c r="I118" s="63"/>
      <c r="J118" s="63"/>
      <c r="K118" s="63"/>
      <c r="L118" s="63"/>
      <c r="M118" s="63"/>
      <c r="N118" s="63"/>
      <c r="O118" s="63"/>
      <c r="P118" s="63"/>
      <c r="Q118" s="63"/>
      <c r="R118" s="63"/>
      <c r="S118" s="63"/>
      <c r="T118" s="63"/>
      <c r="U118" s="63"/>
      <c r="V118" s="63"/>
      <c r="W118" s="63"/>
      <c r="X118" s="63"/>
      <c r="Y118" s="63"/>
      <c r="Z118" s="63"/>
      <c r="AA118" s="63"/>
      <c r="AB118" s="63"/>
      <c r="AC118" s="63"/>
      <c r="AD118" s="63"/>
      <c r="AE118" s="63"/>
      <c r="AF118" s="63"/>
      <c r="AG118" s="63"/>
      <c r="AH118" s="63"/>
    </row>
    <row r="119" spans="1:34" ht="12.95" customHeight="1" x14ac:dyDescent="0.2">
      <c r="A119" s="63"/>
      <c r="B119" s="63"/>
      <c r="C119" s="63"/>
      <c r="D119" s="6"/>
      <c r="E119" s="63"/>
      <c r="F119" s="63"/>
      <c r="G119" s="63"/>
      <c r="H119" s="63"/>
      <c r="I119" s="63"/>
      <c r="J119" s="63"/>
      <c r="K119" s="63"/>
      <c r="L119" s="63"/>
      <c r="M119" s="63"/>
      <c r="N119" s="63"/>
      <c r="O119" s="63"/>
      <c r="P119" s="63"/>
      <c r="Q119" s="63"/>
      <c r="R119" s="63"/>
      <c r="S119" s="63"/>
      <c r="T119" s="63"/>
      <c r="U119" s="63"/>
      <c r="V119" s="63"/>
      <c r="W119" s="63"/>
      <c r="X119" s="63"/>
      <c r="Y119" s="63"/>
      <c r="Z119" s="63"/>
      <c r="AA119" s="63"/>
      <c r="AB119" s="63"/>
      <c r="AC119" s="63"/>
      <c r="AD119" s="63"/>
      <c r="AE119" s="63"/>
      <c r="AF119" s="63"/>
      <c r="AG119" s="63"/>
      <c r="AH119" s="63"/>
    </row>
    <row r="120" spans="1:34" ht="12.95" customHeight="1" x14ac:dyDescent="0.2">
      <c r="A120" s="63"/>
      <c r="B120" s="63"/>
      <c r="C120" s="63"/>
      <c r="D120" s="6"/>
      <c r="E120" s="63"/>
      <c r="F120" s="63"/>
      <c r="G120" s="63"/>
      <c r="H120" s="63"/>
      <c r="I120" s="63"/>
      <c r="J120" s="63"/>
      <c r="K120" s="63"/>
      <c r="L120" s="63"/>
      <c r="M120" s="63"/>
      <c r="N120" s="63"/>
      <c r="O120" s="63"/>
      <c r="P120" s="63"/>
      <c r="Q120" s="63"/>
      <c r="R120" s="63"/>
      <c r="S120" s="63"/>
      <c r="T120" s="63"/>
      <c r="U120" s="63"/>
      <c r="V120" s="63"/>
      <c r="W120" s="63"/>
      <c r="X120" s="63"/>
      <c r="Y120" s="63"/>
      <c r="Z120" s="63"/>
      <c r="AA120" s="63"/>
      <c r="AB120" s="63"/>
      <c r="AC120" s="63"/>
      <c r="AD120" s="63"/>
      <c r="AE120" s="63"/>
      <c r="AF120" s="63"/>
      <c r="AG120" s="63"/>
      <c r="AH120" s="63"/>
    </row>
    <row r="121" spans="1:34" ht="12.95" customHeight="1" x14ac:dyDescent="0.2"/>
    <row r="122" spans="1:34" ht="12.95" customHeight="1" x14ac:dyDescent="0.2"/>
  </sheetData>
  <mergeCells count="41">
    <mergeCell ref="A4:C6"/>
    <mergeCell ref="D5:E5"/>
    <mergeCell ref="F5:G5"/>
    <mergeCell ref="I5:J5"/>
    <mergeCell ref="A1:C3"/>
    <mergeCell ref="D1:I1"/>
    <mergeCell ref="J1:K1"/>
    <mergeCell ref="D3:I3"/>
    <mergeCell ref="J3:K3"/>
    <mergeCell ref="R63:R65"/>
    <mergeCell ref="B7:J7"/>
    <mergeCell ref="A63:B64"/>
    <mergeCell ref="C63:C65"/>
    <mergeCell ref="D63:D65"/>
    <mergeCell ref="E63:E65"/>
    <mergeCell ref="F63:F65"/>
    <mergeCell ref="G63:H64"/>
    <mergeCell ref="I63:J64"/>
    <mergeCell ref="K63:L64"/>
    <mergeCell ref="M63:M65"/>
    <mergeCell ref="N63:N65"/>
    <mergeCell ref="O63:O65"/>
    <mergeCell ref="P63:Q64"/>
    <mergeCell ref="S63:S65"/>
    <mergeCell ref="T63:T65"/>
    <mergeCell ref="U63:AA63"/>
    <mergeCell ref="AB63:AH63"/>
    <mergeCell ref="U64:U65"/>
    <mergeCell ref="V64:V65"/>
    <mergeCell ref="W64:W65"/>
    <mergeCell ref="X64:X65"/>
    <mergeCell ref="Y64:Y65"/>
    <mergeCell ref="Z64:Z65"/>
    <mergeCell ref="AG64:AG65"/>
    <mergeCell ref="AH64:AH65"/>
    <mergeCell ref="AA64:AA65"/>
    <mergeCell ref="AB64:AB65"/>
    <mergeCell ref="AC64:AC65"/>
    <mergeCell ref="AD64:AD65"/>
    <mergeCell ref="AE64:AE65"/>
    <mergeCell ref="AF64:AF65"/>
  </mergeCells>
  <conditionalFormatting sqref="D44">
    <cfRule type="containsText" dxfId="3" priority="5" operator="containsText" text="fails">
      <formula>NOT(ISERROR(SEARCH("fails",D44)))</formula>
    </cfRule>
  </conditionalFormatting>
  <conditionalFormatting sqref="D48">
    <cfRule type="containsText" dxfId="2" priority="4" operator="containsText" text="fails">
      <formula>NOT(ISERROR(SEARCH("fails",D48)))</formula>
    </cfRule>
  </conditionalFormatting>
  <conditionalFormatting sqref="D55">
    <cfRule type="containsText" dxfId="1" priority="3" operator="containsText" text="fails">
      <formula>NOT(ISERROR(SEARCH("fails",D55)))</formula>
    </cfRule>
  </conditionalFormatting>
  <conditionalFormatting sqref="D59">
    <cfRule type="containsText" dxfId="0" priority="1" operator="containsText" text="fails">
      <formula>NOT(ISERROR(SEARCH("fails",D59)))</formula>
    </cfRule>
  </conditionalFormatting>
  <pageMargins left="0.35" right="0.25" top="0.75" bottom="0.75" header="0.3" footer="0.3"/>
  <pageSetup paperSize="9"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37</vt:i4>
      </vt:variant>
    </vt:vector>
  </HeadingPairs>
  <TitlesOfParts>
    <vt:vector size="40" baseType="lpstr">
      <vt:lpstr>Data input</vt:lpstr>
      <vt:lpstr>EC7 (DA1-1)</vt:lpstr>
      <vt:lpstr>EC7 (DA1-2)</vt:lpstr>
      <vt:lpstr>D</vt:lpstr>
      <vt:lpstr>Dewatered</vt:lpstr>
      <vt:lpstr>EGL</vt:lpstr>
      <vt:lpstr>Exc</vt:lpstr>
      <vt:lpstr>Fup</vt:lpstr>
      <vt:lpstr>'EC7 (DA1-1)'!gammab</vt:lpstr>
      <vt:lpstr>'EC7 (DA1-2)'!gammab</vt:lpstr>
      <vt:lpstr>'EC7 (DA1-1)'!gammaC</vt:lpstr>
      <vt:lpstr>'EC7 (DA1-2)'!gammaC</vt:lpstr>
      <vt:lpstr>gammaConc</vt:lpstr>
      <vt:lpstr>'EC7 (DA1-1)'!gammacu</vt:lpstr>
      <vt:lpstr>'EC7 (DA1-2)'!gammacu</vt:lpstr>
      <vt:lpstr>'EC7 (DA1-1)'!gammaG</vt:lpstr>
      <vt:lpstr>'EC7 (DA1-2)'!gammaG</vt:lpstr>
      <vt:lpstr>'EC7 (DA1-1)'!gammagamma</vt:lpstr>
      <vt:lpstr>'EC7 (DA1-2)'!gammagamma</vt:lpstr>
      <vt:lpstr>'EC7 (DA1-1)'!gammaPhi</vt:lpstr>
      <vt:lpstr>'EC7 (DA1-2)'!gammaPhi</vt:lpstr>
      <vt:lpstr>'EC7 (DA1-1)'!gammaQ</vt:lpstr>
      <vt:lpstr>'EC7 (DA1-2)'!gammaQ</vt:lpstr>
      <vt:lpstr>'EC7 (DA1-2)'!gammas</vt:lpstr>
      <vt:lpstr>gammas</vt:lpstr>
      <vt:lpstr>'EC7 (DA1-1)'!gammast</vt:lpstr>
      <vt:lpstr>'EC7 (DA1-2)'!gammast</vt:lpstr>
      <vt:lpstr>'EC7 (DA1-1)'!gammat</vt:lpstr>
      <vt:lpstr>'EC7 (DA1-2)'!gammat</vt:lpstr>
      <vt:lpstr>GWT</vt:lpstr>
      <vt:lpstr>L</vt:lpstr>
      <vt:lpstr>limit.f.t</vt:lpstr>
      <vt:lpstr>limit.fb</vt:lpstr>
      <vt:lpstr>limit.fs</vt:lpstr>
      <vt:lpstr>PL</vt:lpstr>
      <vt:lpstr>'Data input'!Print_Area</vt:lpstr>
      <vt:lpstr>'EC7 (DA1-1)'!Print_Area</vt:lpstr>
      <vt:lpstr>'EC7 (DA1-2)'!Print_Area</vt:lpstr>
      <vt:lpstr>Vp</vt:lpstr>
      <vt:lpstr>Vv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Elements of Soil Mechanics, 9th Edition</dc:title>
  <dc:subject/>
  <dc:creator>Ian Smith</dc:creator>
  <cp:keywords/>
  <dc:description/>
  <cp:lastModifiedBy>Aminul Islam</cp:lastModifiedBy>
  <cp:lastPrinted>2025-11-27T11:17:18Z</cp:lastPrinted>
  <dcterms:created xsi:type="dcterms:W3CDTF">2005-09-08T15:52:27Z</dcterms:created>
  <dcterms:modified xsi:type="dcterms:W3CDTF">2025-11-27T11:24:10Z</dcterms:modified>
  <cp:category/>
</cp:coreProperties>
</file>