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updateLinks="never" autoCompressPictures="0"/>
  <mc:AlternateContent xmlns:mc="http://schemas.openxmlformats.org/markup-compatibility/2006">
    <mc:Choice Requires="x15">
      <x15ac:absPath xmlns:x15ac="http://schemas.microsoft.com/office/spreadsheetml/2010/11/ac" url="C:\Users\Admin\Downloads\"/>
    </mc:Choice>
  </mc:AlternateContent>
  <xr:revisionPtr revIDLastSave="0" documentId="13_ncr:1_{59E02664-E43B-4944-BA38-E690F13336E1}" xr6:coauthVersionLast="47" xr6:coauthVersionMax="47" xr10:uidLastSave="{00000000-0000-0000-0000-000000000000}"/>
  <bookViews>
    <workbookView xWindow="-120" yWindow="-16320" windowWidth="29040" windowHeight="15720" xr2:uid="{00000000-000D-0000-FFFF-FFFF00000000}"/>
  </bookViews>
  <sheets>
    <sheet name="Data input" sheetId="11" r:id="rId1"/>
    <sheet name="EC7 (DA1-1)" sheetId="12" r:id="rId2"/>
    <sheet name="EC7 (DA1-2)" sheetId="13" r:id="rId3"/>
  </sheets>
  <definedNames>
    <definedName name="_x3" localSheetId="1">'EC7 (DA1-1)'!$F$42</definedName>
    <definedName name="_x3" localSheetId="2">'EC7 (DA1-2)'!$F$42</definedName>
    <definedName name="_x4" localSheetId="1">'EC7 (DA1-1)'!$F$43</definedName>
    <definedName name="_x4" localSheetId="2">'EC7 (DA1-2)'!$F$43</definedName>
    <definedName name="Ab" localSheetId="2">'EC7 (DA1-2)'!$F$23</definedName>
    <definedName name="Ab">'EC7 (DA1-1)'!$F$23</definedName>
    <definedName name="As" localSheetId="2">'EC7 (DA1-2)'!$F$24</definedName>
    <definedName name="As">'EC7 (DA1-1)'!$F$24</definedName>
    <definedName name="Condition">'Data input'!$F$21</definedName>
    <definedName name="D">'Data input'!$F$23</definedName>
    <definedName name="Fd" localSheetId="1">'EC7 (DA1-1)'!$E$87</definedName>
    <definedName name="Fd" localSheetId="2">'EC7 (DA1-2)'!$E$87</definedName>
    <definedName name="gammaB" localSheetId="1">'EC7 (DA1-1)'!$F$19</definedName>
    <definedName name="gammaB" localSheetId="2">'EC7 (DA1-2)'!$F$19</definedName>
    <definedName name="gammaG" localSheetId="1">'EC7 (DA1-1)'!$F$15</definedName>
    <definedName name="gammaG" localSheetId="2">'EC7 (DA1-2)'!$F$15</definedName>
    <definedName name="gammaQ" localSheetId="1">'EC7 (DA1-1)'!$F$16</definedName>
    <definedName name="gammaQ" localSheetId="2">'EC7 (DA1-2)'!$F$16</definedName>
    <definedName name="gammaS" localSheetId="1">'EC7 (DA1-1)'!$F$20</definedName>
    <definedName name="gammaS" localSheetId="2">'EC7 (DA1-2)'!$F$20</definedName>
    <definedName name="GWT">'Data input'!$F$24</definedName>
    <definedName name="L">'Data input'!$F$22</definedName>
    <definedName name="_xlnm.Print_Area" localSheetId="0">'Data input'!$A$1:$K$57</definedName>
    <definedName name="_xlnm.Print_Area" localSheetId="1">'EC7 (DA1-1)'!$A$1:$K$111</definedName>
    <definedName name="_xlnm.Print_Area" localSheetId="2">'EC7 (DA1-2)'!$A$1:$K$111</definedName>
    <definedName name="Rb_k" localSheetId="1">'EC7 (DA1-1)'!$F$81</definedName>
    <definedName name="Rb_k" localSheetId="2">'EC7 (DA1-2)'!$F$81</definedName>
    <definedName name="Rbmean" localSheetId="1">'EC7 (DA1-1)'!$F$63</definedName>
    <definedName name="Rbmean" localSheetId="2">'EC7 (DA1-2)'!$F$63</definedName>
    <definedName name="Rbmin" localSheetId="1">'EC7 (DA1-1)'!$F$69</definedName>
    <definedName name="Rbmin" localSheetId="2">'EC7 (DA1-2)'!$F$69</definedName>
    <definedName name="Rc_k" localSheetId="1">'EC7 (DA1-1)'!$F$77</definedName>
    <definedName name="Rc_k" localSheetId="2">'EC7 (DA1-2)'!$F$77</definedName>
    <definedName name="Rcmean" localSheetId="1">'EC7 (DA1-1)'!$F$65</definedName>
    <definedName name="Rcmean" localSheetId="2">'EC7 (DA1-2)'!$F$65</definedName>
    <definedName name="RcmeanF" localSheetId="1">'EC7 (DA1-1)'!$F$75</definedName>
    <definedName name="RcmeanF" localSheetId="2">'EC7 (DA1-2)'!$F$75</definedName>
    <definedName name="Rcmin" localSheetId="1">'EC7 (DA1-1)'!$F$71</definedName>
    <definedName name="Rcmin" localSheetId="2">'EC7 (DA1-2)'!$F$71</definedName>
    <definedName name="RcminF" localSheetId="1">'EC7 (DA1-1)'!$F$76</definedName>
    <definedName name="RcminF" localSheetId="2">'EC7 (DA1-2)'!$F$76</definedName>
    <definedName name="Rd" localSheetId="0">'Data input'!$F$89</definedName>
    <definedName name="Rd" localSheetId="1">'EC7 (DA1-1)'!$F$86</definedName>
    <definedName name="Rd" localSheetId="2">'EC7 (DA1-2)'!$F$86</definedName>
    <definedName name="Rs_k" localSheetId="1">'EC7 (DA1-1)'!$F$82</definedName>
    <definedName name="Rs_k" localSheetId="2">'EC7 (DA1-2)'!$F$82</definedName>
    <definedName name="Rsmean" localSheetId="1">'EC7 (DA1-1)'!$F$64</definedName>
    <definedName name="Rsmean" localSheetId="2">'EC7 (DA1-2)'!$F$64</definedName>
    <definedName name="Rsmin" localSheetId="1">'EC7 (DA1-1)'!$F$70</definedName>
    <definedName name="Rsmin" localSheetId="2">'EC7 (DA1-2)'!$F$70</definedName>
    <definedName name="singmaV" localSheetId="1">'EC7 (DA1-1)'!#REF!</definedName>
    <definedName name="singmaV" localSheetId="2">'EC7 (DA1-2)'!#REF!</definedName>
    <definedName name="Type">'Data input'!$F$20</definedName>
    <definedName name="Vp">'Data input'!$F$27</definedName>
    <definedName name="Vv">'Data input'!$F$28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12" l="1"/>
  <c r="F29" i="12"/>
  <c r="F29" i="13"/>
  <c r="G28" i="12"/>
  <c r="F20" i="13" l="1"/>
  <c r="F19" i="13"/>
  <c r="F9" i="12"/>
  <c r="F9" i="13"/>
  <c r="F87" i="13"/>
  <c r="F54" i="11" s="1"/>
  <c r="B57" i="13"/>
  <c r="B56" i="13"/>
  <c r="B55" i="13"/>
  <c r="B54" i="13"/>
  <c r="B53" i="13"/>
  <c r="B52" i="13"/>
  <c r="B51" i="13"/>
  <c r="B50" i="13"/>
  <c r="B49" i="13"/>
  <c r="B48" i="13"/>
  <c r="F41" i="13"/>
  <c r="F43" i="13" s="1"/>
  <c r="H38" i="13"/>
  <c r="G38" i="13"/>
  <c r="F38" i="13"/>
  <c r="C38" i="13"/>
  <c r="E38" i="13" s="1"/>
  <c r="B38" i="13"/>
  <c r="H37" i="13"/>
  <c r="G37" i="13"/>
  <c r="F37" i="13"/>
  <c r="C37" i="13"/>
  <c r="E37" i="13" s="1"/>
  <c r="B37" i="13"/>
  <c r="H36" i="13"/>
  <c r="G36" i="13"/>
  <c r="F36" i="13"/>
  <c r="C36" i="13"/>
  <c r="D36" i="13" s="1"/>
  <c r="B36" i="13"/>
  <c r="H35" i="13"/>
  <c r="G35" i="13"/>
  <c r="F35" i="13"/>
  <c r="C35" i="13"/>
  <c r="E35" i="13" s="1"/>
  <c r="B35" i="13"/>
  <c r="H34" i="13"/>
  <c r="G34" i="13"/>
  <c r="F34" i="13"/>
  <c r="C34" i="13"/>
  <c r="E34" i="13" s="1"/>
  <c r="B34" i="13"/>
  <c r="H33" i="13"/>
  <c r="G33" i="13"/>
  <c r="F33" i="13"/>
  <c r="C33" i="13"/>
  <c r="E33" i="13" s="1"/>
  <c r="B33" i="13"/>
  <c r="H32" i="13"/>
  <c r="G32" i="13"/>
  <c r="F32" i="13"/>
  <c r="C32" i="13"/>
  <c r="D32" i="13" s="1"/>
  <c r="H31" i="13"/>
  <c r="G31" i="13"/>
  <c r="F31" i="13"/>
  <c r="C31" i="13"/>
  <c r="E31" i="13" s="1"/>
  <c r="H30" i="13"/>
  <c r="G30" i="13"/>
  <c r="F30" i="13"/>
  <c r="C30" i="13"/>
  <c r="D30" i="13" s="1"/>
  <c r="H29" i="13"/>
  <c r="G29" i="13"/>
  <c r="C29" i="13"/>
  <c r="E29" i="13" s="1"/>
  <c r="H28" i="13"/>
  <c r="G28" i="13"/>
  <c r="F28" i="13"/>
  <c r="E28" i="13"/>
  <c r="D28" i="13"/>
  <c r="G27" i="13"/>
  <c r="F24" i="13"/>
  <c r="F23" i="13"/>
  <c r="K6" i="13"/>
  <c r="I6" i="13"/>
  <c r="H6" i="13"/>
  <c r="F6" i="13"/>
  <c r="D6" i="13"/>
  <c r="D4" i="13"/>
  <c r="J2" i="13"/>
  <c r="D2" i="13"/>
  <c r="F87" i="12"/>
  <c r="F47" i="11" s="1"/>
  <c r="B49" i="12"/>
  <c r="B50" i="12"/>
  <c r="B51" i="12"/>
  <c r="B52" i="12"/>
  <c r="B53" i="12"/>
  <c r="B54" i="12"/>
  <c r="B55" i="12"/>
  <c r="B56" i="12"/>
  <c r="B57" i="12"/>
  <c r="H30" i="12"/>
  <c r="H31" i="12"/>
  <c r="H32" i="12"/>
  <c r="H33" i="12"/>
  <c r="H34" i="12"/>
  <c r="H35" i="12"/>
  <c r="H36" i="12"/>
  <c r="H37" i="12"/>
  <c r="H38" i="12"/>
  <c r="H29" i="12"/>
  <c r="G29" i="12"/>
  <c r="G30" i="12"/>
  <c r="G31" i="12"/>
  <c r="G32" i="12"/>
  <c r="G33" i="12"/>
  <c r="G34" i="12"/>
  <c r="G35" i="12"/>
  <c r="G36" i="12"/>
  <c r="G37" i="12"/>
  <c r="G38" i="12"/>
  <c r="F30" i="12"/>
  <c r="F31" i="12"/>
  <c r="F32" i="12"/>
  <c r="F33" i="12"/>
  <c r="F34" i="12"/>
  <c r="F35" i="12"/>
  <c r="F36" i="12"/>
  <c r="F37" i="12"/>
  <c r="F38" i="12"/>
  <c r="G31" i="11"/>
  <c r="G27" i="12"/>
  <c r="H28" i="12"/>
  <c r="E53" i="13" l="1"/>
  <c r="F53" i="13" s="1"/>
  <c r="E48" i="13"/>
  <c r="F48" i="13" s="1"/>
  <c r="E56" i="13"/>
  <c r="F56" i="13" s="1"/>
  <c r="C51" i="13"/>
  <c r="D51" i="13" s="1"/>
  <c r="E32" i="13"/>
  <c r="E51" i="13" s="1"/>
  <c r="F51" i="13" s="1"/>
  <c r="C49" i="13"/>
  <c r="E30" i="13"/>
  <c r="E49" i="13" s="1"/>
  <c r="F49" i="13" s="1"/>
  <c r="E54" i="13"/>
  <c r="F54" i="13" s="1"/>
  <c r="E52" i="13"/>
  <c r="F52" i="13" s="1"/>
  <c r="E50" i="13"/>
  <c r="F50" i="13" s="1"/>
  <c r="E57" i="13"/>
  <c r="F57" i="13" s="1"/>
  <c r="C55" i="13"/>
  <c r="D55" i="13" s="1"/>
  <c r="E36" i="13"/>
  <c r="E55" i="13" s="1"/>
  <c r="F55" i="13" s="1"/>
  <c r="D29" i="13"/>
  <c r="C48" i="13" s="1"/>
  <c r="D31" i="13"/>
  <c r="C50" i="13" s="1"/>
  <c r="D38" i="13"/>
  <c r="C57" i="13" s="1"/>
  <c r="D33" i="13"/>
  <c r="C52" i="13" s="1"/>
  <c r="D35" i="13"/>
  <c r="C54" i="13" s="1"/>
  <c r="D37" i="13"/>
  <c r="C56" i="13" s="1"/>
  <c r="F42" i="13"/>
  <c r="D34" i="13"/>
  <c r="C53" i="13" s="1"/>
  <c r="D28" i="12"/>
  <c r="C29" i="12"/>
  <c r="E29" i="12" s="1"/>
  <c r="C30" i="12"/>
  <c r="C31" i="12"/>
  <c r="C32" i="12"/>
  <c r="C33" i="12"/>
  <c r="C34" i="12"/>
  <c r="C35" i="12"/>
  <c r="C36" i="12"/>
  <c r="C37" i="12"/>
  <c r="C38" i="12"/>
  <c r="E28" i="12"/>
  <c r="B33" i="12"/>
  <c r="B34" i="12"/>
  <c r="B35" i="12"/>
  <c r="B36" i="12"/>
  <c r="B37" i="12"/>
  <c r="B38" i="12"/>
  <c r="B48" i="12"/>
  <c r="B31" i="11"/>
  <c r="H32" i="11"/>
  <c r="G32" i="11"/>
  <c r="G49" i="13" l="1"/>
  <c r="H49" i="13" s="1"/>
  <c r="D49" i="13"/>
  <c r="G51" i="13"/>
  <c r="H51" i="13" s="1"/>
  <c r="F64" i="13"/>
  <c r="G55" i="13"/>
  <c r="H55" i="13" s="1"/>
  <c r="F70" i="13"/>
  <c r="D53" i="13"/>
  <c r="G53" i="13"/>
  <c r="H53" i="13" s="1"/>
  <c r="G50" i="13"/>
  <c r="H50" i="13" s="1"/>
  <c r="D50" i="13"/>
  <c r="G57" i="13"/>
  <c r="H57" i="13" s="1"/>
  <c r="D57" i="13"/>
  <c r="F69" i="13"/>
  <c r="F63" i="13"/>
  <c r="G48" i="13"/>
  <c r="D48" i="13"/>
  <c r="G56" i="13"/>
  <c r="H56" i="13" s="1"/>
  <c r="D56" i="13"/>
  <c r="G54" i="13"/>
  <c r="H54" i="13" s="1"/>
  <c r="D54" i="13"/>
  <c r="G52" i="13"/>
  <c r="H52" i="13" s="1"/>
  <c r="D52" i="13"/>
  <c r="D38" i="12"/>
  <c r="E38" i="12"/>
  <c r="D37" i="12"/>
  <c r="E37" i="12"/>
  <c r="D35" i="12"/>
  <c r="E35" i="12"/>
  <c r="E33" i="12"/>
  <c r="D33" i="12"/>
  <c r="E32" i="12"/>
  <c r="D32" i="12"/>
  <c r="D36" i="12"/>
  <c r="E36" i="12"/>
  <c r="E34" i="12"/>
  <c r="D34" i="12"/>
  <c r="E31" i="12"/>
  <c r="D31" i="12"/>
  <c r="E30" i="12"/>
  <c r="D30" i="12"/>
  <c r="D29" i="12"/>
  <c r="F41" i="12"/>
  <c r="F65" i="13" l="1"/>
  <c r="F75" i="13" s="1"/>
  <c r="H48" i="13"/>
  <c r="F71" i="13"/>
  <c r="F76" i="13" s="1"/>
  <c r="F20" i="12"/>
  <c r="F19" i="12"/>
  <c r="Y12" i="11"/>
  <c r="F24" i="12"/>
  <c r="E51" i="12" s="1"/>
  <c r="F23" i="12"/>
  <c r="C48" i="12" s="1"/>
  <c r="C55" i="12" l="1"/>
  <c r="D55" i="12" s="1"/>
  <c r="E55" i="12"/>
  <c r="F55" i="12" s="1"/>
  <c r="C57" i="12"/>
  <c r="D57" i="12" s="1"/>
  <c r="C52" i="12"/>
  <c r="D52" i="12" s="1"/>
  <c r="C53" i="12"/>
  <c r="C56" i="12"/>
  <c r="E56" i="12"/>
  <c r="F56" i="12" s="1"/>
  <c r="F77" i="13"/>
  <c r="C54" i="12"/>
  <c r="E53" i="12"/>
  <c r="F53" i="12" s="1"/>
  <c r="E54" i="12"/>
  <c r="F54" i="12" s="1"/>
  <c r="E57" i="12"/>
  <c r="F57" i="12" s="1"/>
  <c r="E52" i="12"/>
  <c r="F52" i="12" s="1"/>
  <c r="F51" i="12"/>
  <c r="C51" i="12"/>
  <c r="E49" i="12"/>
  <c r="F49" i="12" s="1"/>
  <c r="E50" i="12"/>
  <c r="F50" i="12" s="1"/>
  <c r="C50" i="12"/>
  <c r="C49" i="12"/>
  <c r="E48" i="12"/>
  <c r="G55" i="12" l="1"/>
  <c r="H55" i="12" s="1"/>
  <c r="G52" i="12"/>
  <c r="H52" i="12" s="1"/>
  <c r="F69" i="12"/>
  <c r="F70" i="12"/>
  <c r="G54" i="12"/>
  <c r="H54" i="12" s="1"/>
  <c r="D54" i="12"/>
  <c r="F82" i="13"/>
  <c r="F81" i="13"/>
  <c r="G57" i="12"/>
  <c r="H57" i="12" s="1"/>
  <c r="F64" i="12"/>
  <c r="D56" i="12"/>
  <c r="G56" i="12"/>
  <c r="H56" i="12" s="1"/>
  <c r="D53" i="12"/>
  <c r="G53" i="12"/>
  <c r="H53" i="12" s="1"/>
  <c r="D51" i="12"/>
  <c r="F63" i="12"/>
  <c r="G50" i="12"/>
  <c r="H50" i="12" s="1"/>
  <c r="G51" i="12"/>
  <c r="D50" i="12"/>
  <c r="F48" i="12"/>
  <c r="G48" i="12"/>
  <c r="G49" i="12"/>
  <c r="H49" i="12" s="1"/>
  <c r="D49" i="12"/>
  <c r="D48" i="12"/>
  <c r="F43" i="12"/>
  <c r="F42" i="12"/>
  <c r="F86" i="13" l="1"/>
  <c r="F53" i="11" s="1"/>
  <c r="H51" i="12"/>
  <c r="F71" i="12"/>
  <c r="F76" i="12" s="1"/>
  <c r="F65" i="12"/>
  <c r="F75" i="12" s="1"/>
  <c r="H48" i="12"/>
  <c r="F77" i="12" l="1"/>
  <c r="F82" i="12" s="1"/>
  <c r="F88" i="13"/>
  <c r="F55" i="11" s="1"/>
  <c r="F89" i="13"/>
  <c r="F56" i="11" s="1"/>
  <c r="K6" i="12"/>
  <c r="I6" i="12"/>
  <c r="H6" i="12"/>
  <c r="F6" i="12"/>
  <c r="D6" i="12"/>
  <c r="D4" i="12"/>
  <c r="J2" i="12"/>
  <c r="D2" i="12"/>
  <c r="K6" i="11"/>
  <c r="H6" i="11"/>
  <c r="F81" i="12" l="1"/>
  <c r="F86" i="12" s="1"/>
  <c r="E90" i="13"/>
  <c r="E57" i="11" s="1"/>
  <c r="F88" i="12" l="1"/>
  <c r="E90" i="12" s="1"/>
  <c r="E50" i="11" s="1"/>
  <c r="F46" i="11"/>
  <c r="F89" i="12"/>
  <c r="F49" i="11" s="1"/>
  <c r="F48"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Aminul Islam</author>
  </authors>
  <commentList>
    <comment ref="F20" authorId="0" shapeId="0" xr:uid="{290CC4D8-F11E-4B96-B91A-6DAAF80EB0B1}">
      <text>
        <r>
          <rPr>
            <b/>
            <sz val="9"/>
            <color indexed="81"/>
            <rFont val="Tahoma"/>
            <family val="2"/>
          </rPr>
          <t>Aleksandar Vasiljevic:</t>
        </r>
        <r>
          <rPr>
            <sz val="9"/>
            <color indexed="81"/>
            <rFont val="Tahoma"/>
            <family val="2"/>
          </rPr>
          <t xml:space="preserve">
Select Pile Type. Update the partial factors on the right side (outside the print area) according to a specific National Annex if required.</t>
        </r>
      </text>
    </comment>
    <comment ref="F21" authorId="0" shapeId="0" xr:uid="{DADDF19C-A4FC-4455-A76C-965B57152F52}">
      <text>
        <r>
          <rPr>
            <b/>
            <sz val="9"/>
            <color indexed="81"/>
            <rFont val="Tahoma"/>
            <family val="2"/>
          </rPr>
          <t>Aminul Islam:</t>
        </r>
        <r>
          <rPr>
            <sz val="9"/>
            <color indexed="81"/>
            <rFont val="Tahoma"/>
            <family val="2"/>
          </rPr>
          <t xml:space="preserve">
Select analysis type and input data accordingly (drained/undrained analysis uses different types of parameters)</t>
        </r>
      </text>
    </comment>
  </commentList>
</comments>
</file>

<file path=xl/sharedStrings.xml><?xml version="1.0" encoding="utf-8"?>
<sst xmlns="http://schemas.openxmlformats.org/spreadsheetml/2006/main" count="289" uniqueCount="133">
  <si>
    <t>m</t>
  </si>
  <si>
    <t>L =</t>
  </si>
  <si>
    <t xml:space="preserve">Project:
</t>
  </si>
  <si>
    <t xml:space="preserve">Job Ref:
</t>
  </si>
  <si>
    <t>Example Project</t>
  </si>
  <si>
    <t>Eample Job No.</t>
  </si>
  <si>
    <t xml:space="preserve">Structure:
</t>
  </si>
  <si>
    <t>Sheet No/Rev:</t>
  </si>
  <si>
    <t>Phicon Ltd | Pentire House | 9 Beach Rd | Newquay | TR7 1ES</t>
  </si>
  <si>
    <t>Example Structure</t>
  </si>
  <si>
    <t xml:space="preserve">Client:
</t>
  </si>
  <si>
    <t xml:space="preserve">Calc by:
</t>
  </si>
  <si>
    <t>Date</t>
  </si>
  <si>
    <t>Check by:</t>
  </si>
  <si>
    <t>Example Client</t>
  </si>
  <si>
    <t>Example Engineer</t>
  </si>
  <si>
    <t>Example Checker</t>
  </si>
  <si>
    <t>REF</t>
  </si>
  <si>
    <t>CALCULATION</t>
  </si>
  <si>
    <t>OUTPUT</t>
  </si>
  <si>
    <t>1. Partial factors</t>
  </si>
  <si>
    <t>Permanent actions</t>
  </si>
  <si>
    <r>
      <rPr>
        <sz val="10"/>
        <color rgb="FF000000"/>
        <rFont val="Calibri"/>
        <family val="2"/>
        <scheme val="minor"/>
      </rPr>
      <t>γ</t>
    </r>
    <r>
      <rPr>
        <vertAlign val="subscript"/>
        <sz val="10"/>
        <color rgb="FF000000"/>
        <rFont val="Calibri"/>
        <family val="2"/>
        <scheme val="minor"/>
      </rPr>
      <t xml:space="preserve">G </t>
    </r>
    <r>
      <rPr>
        <sz val="10"/>
        <color rgb="FF000000"/>
        <rFont val="Calibri"/>
        <family val="2"/>
        <scheme val="minor"/>
      </rPr>
      <t>=</t>
    </r>
  </si>
  <si>
    <t>Variable actions</t>
  </si>
  <si>
    <r>
      <rPr>
        <sz val="10"/>
        <color rgb="FF000000"/>
        <rFont val="Calibri"/>
        <family val="2"/>
        <scheme val="minor"/>
      </rPr>
      <t>γ</t>
    </r>
    <r>
      <rPr>
        <vertAlign val="subscript"/>
        <sz val="10"/>
        <color rgb="FF000000"/>
        <rFont val="Calibri"/>
        <family val="2"/>
        <scheme val="minor"/>
      </rPr>
      <t xml:space="preserve">Q </t>
    </r>
    <r>
      <rPr>
        <sz val="10"/>
        <color rgb="FF000000"/>
        <rFont val="Calibri"/>
        <family val="2"/>
        <scheme val="minor"/>
      </rPr>
      <t>=</t>
    </r>
  </si>
  <si>
    <t>kN</t>
  </si>
  <si>
    <t>GEO Limit State</t>
  </si>
  <si>
    <t>Design Approach 1, Combination 1</t>
  </si>
  <si>
    <t>Γ =</t>
  </si>
  <si>
    <t>Proportion of available resistance used</t>
  </si>
  <si>
    <t>Λ =</t>
  </si>
  <si>
    <r>
      <t>m</t>
    </r>
    <r>
      <rPr>
        <vertAlign val="superscript"/>
        <sz val="10"/>
        <rFont val="Arial"/>
        <family val="2"/>
      </rPr>
      <t>2</t>
    </r>
  </si>
  <si>
    <t>Overdesign factor for bearing resistance</t>
  </si>
  <si>
    <t>Load Case</t>
  </si>
  <si>
    <t>Pile Type</t>
  </si>
  <si>
    <t>n</t>
  </si>
  <si>
    <t>D =</t>
  </si>
  <si>
    <t>Length of pile</t>
  </si>
  <si>
    <t>Diameter of pile</t>
  </si>
  <si>
    <t>Type of pile</t>
  </si>
  <si>
    <t>Driven</t>
  </si>
  <si>
    <t>Applied vertical permanent load</t>
  </si>
  <si>
    <t>Applied vertical Variable load</t>
  </si>
  <si>
    <r>
      <t>V</t>
    </r>
    <r>
      <rPr>
        <vertAlign val="subscript"/>
        <sz val="10"/>
        <rFont val="Arial"/>
        <family val="2"/>
      </rPr>
      <t>p</t>
    </r>
    <r>
      <rPr>
        <sz val="10"/>
        <rFont val="Arial"/>
        <family val="2"/>
      </rPr>
      <t xml:space="preserve"> =</t>
    </r>
  </si>
  <si>
    <r>
      <t>V</t>
    </r>
    <r>
      <rPr>
        <vertAlign val="subscript"/>
        <sz val="10"/>
        <rFont val="Arial"/>
        <family val="2"/>
      </rPr>
      <t>v</t>
    </r>
    <r>
      <rPr>
        <sz val="10"/>
        <rFont val="Arial"/>
        <family val="2"/>
      </rPr>
      <t xml:space="preserve"> =</t>
    </r>
  </si>
  <si>
    <t>BH-01 =</t>
  </si>
  <si>
    <t>BH-02 =</t>
  </si>
  <si>
    <t>BH-03 =</t>
  </si>
  <si>
    <t>BH-04 =</t>
  </si>
  <si>
    <t>BH-05 =</t>
  </si>
  <si>
    <t>BH-06 =</t>
  </si>
  <si>
    <t>BH-07 =</t>
  </si>
  <si>
    <t>BH-08 =</t>
  </si>
  <si>
    <t>BH-09 =</t>
  </si>
  <si>
    <t>BH-10 =</t>
  </si>
  <si>
    <t>PILE FOUNDATION: BEARING CAPACITY FROM GROUND TEST RESULT</t>
  </si>
  <si>
    <t>DA1-1 (R1)</t>
  </si>
  <si>
    <t>DA1-2 (R4)</t>
  </si>
  <si>
    <t>On pile resistances</t>
  </si>
  <si>
    <t>On unfavourable action effects</t>
  </si>
  <si>
    <r>
      <t>γ</t>
    </r>
    <r>
      <rPr>
        <vertAlign val="subscript"/>
        <sz val="10"/>
        <color rgb="FF000000"/>
        <rFont val="Calibri"/>
        <family val="2"/>
        <scheme val="minor"/>
      </rPr>
      <t>s</t>
    </r>
    <r>
      <rPr>
        <sz val="10"/>
        <color rgb="FF000000"/>
        <rFont val="Calibri"/>
        <family val="2"/>
        <scheme val="minor"/>
      </rPr>
      <t>=</t>
    </r>
  </si>
  <si>
    <t>Base resistance</t>
  </si>
  <si>
    <t>Shaft resistance</t>
  </si>
  <si>
    <t>Number of boreholes</t>
  </si>
  <si>
    <t>n =</t>
  </si>
  <si>
    <t>Correlation factor on the mean resistance</t>
  </si>
  <si>
    <t>Correlation factor on the minimum resistance</t>
  </si>
  <si>
    <t>2. Initial Calculation</t>
  </si>
  <si>
    <t>Area of pile base</t>
  </si>
  <si>
    <t>Surface area of pile shaft</t>
  </si>
  <si>
    <t>Average resistance</t>
  </si>
  <si>
    <t>Average resistance at base</t>
  </si>
  <si>
    <r>
      <t>R</t>
    </r>
    <r>
      <rPr>
        <vertAlign val="subscript"/>
        <sz val="10"/>
        <rFont val="Arial"/>
        <family val="2"/>
      </rPr>
      <t>b;c (mean)</t>
    </r>
    <r>
      <rPr>
        <sz val="10"/>
        <rFont val="Arial"/>
        <family val="2"/>
      </rPr>
      <t xml:space="preserve"> =</t>
    </r>
  </si>
  <si>
    <r>
      <t>R</t>
    </r>
    <r>
      <rPr>
        <vertAlign val="subscript"/>
        <sz val="10"/>
        <rFont val="Arial"/>
        <family val="2"/>
      </rPr>
      <t>s;c (mean)</t>
    </r>
    <r>
      <rPr>
        <sz val="10"/>
        <rFont val="Arial"/>
        <family val="2"/>
      </rPr>
      <t xml:space="preserve"> =</t>
    </r>
  </si>
  <si>
    <r>
      <t>R</t>
    </r>
    <r>
      <rPr>
        <vertAlign val="subscript"/>
        <sz val="10"/>
        <rFont val="Arial"/>
        <family val="2"/>
      </rPr>
      <t>c;c (mean)</t>
    </r>
    <r>
      <rPr>
        <sz val="10"/>
        <rFont val="Arial"/>
        <family val="2"/>
      </rPr>
      <t xml:space="preserve"> =</t>
    </r>
  </si>
  <si>
    <t>Average resistance along shaft</t>
  </si>
  <si>
    <t>Total average resistance</t>
  </si>
  <si>
    <t>Minimum resistance at base</t>
  </si>
  <si>
    <t>Minimum resistance along shaft</t>
  </si>
  <si>
    <t>Total minimum resistance</t>
  </si>
  <si>
    <t>Minimum resistance</t>
  </si>
  <si>
    <r>
      <t>R</t>
    </r>
    <r>
      <rPr>
        <vertAlign val="subscript"/>
        <sz val="10"/>
        <rFont val="Arial"/>
        <family val="2"/>
      </rPr>
      <t>b;c (min.)</t>
    </r>
    <r>
      <rPr>
        <sz val="10"/>
        <rFont val="Arial"/>
        <family val="2"/>
      </rPr>
      <t xml:space="preserve"> =</t>
    </r>
  </si>
  <si>
    <r>
      <t>R</t>
    </r>
    <r>
      <rPr>
        <vertAlign val="subscript"/>
        <sz val="10"/>
        <rFont val="Arial"/>
        <family val="2"/>
      </rPr>
      <t>s;c (min.)</t>
    </r>
    <r>
      <rPr>
        <sz val="10"/>
        <rFont val="Arial"/>
        <family val="2"/>
      </rPr>
      <t xml:space="preserve"> =</t>
    </r>
  </si>
  <si>
    <r>
      <t>R</t>
    </r>
    <r>
      <rPr>
        <vertAlign val="subscript"/>
        <sz val="10"/>
        <rFont val="Arial"/>
        <family val="2"/>
      </rPr>
      <t>c;c (min.)</t>
    </r>
    <r>
      <rPr>
        <sz val="10"/>
        <rFont val="Arial"/>
        <family val="2"/>
      </rPr>
      <t xml:space="preserve"> =</t>
    </r>
  </si>
  <si>
    <t>Selected resistance</t>
  </si>
  <si>
    <r>
      <t>x</t>
    </r>
    <r>
      <rPr>
        <vertAlign val="subscript"/>
        <sz val="10"/>
        <rFont val="Symbol"/>
        <family val="1"/>
        <charset val="2"/>
      </rPr>
      <t>3</t>
    </r>
    <r>
      <rPr>
        <sz val="10"/>
        <rFont val="Symbol"/>
        <family val="1"/>
        <charset val="2"/>
      </rPr>
      <t xml:space="preserve"> =</t>
    </r>
  </si>
  <si>
    <r>
      <t>x</t>
    </r>
    <r>
      <rPr>
        <vertAlign val="subscript"/>
        <sz val="10"/>
        <rFont val="Symbol"/>
        <family val="1"/>
        <charset val="2"/>
      </rPr>
      <t>4</t>
    </r>
    <r>
      <rPr>
        <sz val="10"/>
        <rFont val="Symbol"/>
        <family val="1"/>
        <charset val="2"/>
      </rPr>
      <t xml:space="preserve"> =</t>
    </r>
  </si>
  <si>
    <t>Factored average resistance</t>
  </si>
  <si>
    <t>Factored minimum resistance</t>
  </si>
  <si>
    <t>Factored Resistance</t>
  </si>
  <si>
    <r>
      <t>R</t>
    </r>
    <r>
      <rPr>
        <vertAlign val="subscript"/>
        <sz val="10"/>
        <rFont val="Arial"/>
        <family val="2"/>
      </rPr>
      <t>c;k</t>
    </r>
    <r>
      <rPr>
        <sz val="10"/>
        <rFont val="Arial"/>
        <family val="2"/>
      </rPr>
      <t xml:space="preserve"> =</t>
    </r>
  </si>
  <si>
    <t>Characteristic Resistance</t>
  </si>
  <si>
    <r>
      <t>R</t>
    </r>
    <r>
      <rPr>
        <vertAlign val="subscript"/>
        <sz val="10"/>
        <rFont val="Arial"/>
        <family val="2"/>
      </rPr>
      <t>b;k</t>
    </r>
    <r>
      <rPr>
        <sz val="10"/>
        <rFont val="Arial"/>
        <family val="2"/>
      </rPr>
      <t xml:space="preserve"> =</t>
    </r>
  </si>
  <si>
    <r>
      <t>R</t>
    </r>
    <r>
      <rPr>
        <vertAlign val="subscript"/>
        <sz val="10"/>
        <rFont val="Arial"/>
        <family val="2"/>
      </rPr>
      <t>s;k</t>
    </r>
    <r>
      <rPr>
        <sz val="10"/>
        <rFont val="Arial"/>
        <family val="2"/>
      </rPr>
      <t xml:space="preserve"> =</t>
    </r>
  </si>
  <si>
    <t>Design resistance</t>
  </si>
  <si>
    <t>Bearing Resistance</t>
  </si>
  <si>
    <t>Design actions</t>
  </si>
  <si>
    <r>
      <t>F</t>
    </r>
    <r>
      <rPr>
        <vertAlign val="subscript"/>
        <sz val="10"/>
        <rFont val="Arial"/>
        <family val="2"/>
      </rPr>
      <t>d</t>
    </r>
    <r>
      <rPr>
        <sz val="10"/>
        <rFont val="Arial"/>
        <family val="2"/>
      </rPr>
      <t xml:space="preserve"> =</t>
    </r>
  </si>
  <si>
    <r>
      <t>R</t>
    </r>
    <r>
      <rPr>
        <vertAlign val="subscript"/>
        <sz val="10"/>
        <rFont val="Arial"/>
        <family val="2"/>
      </rPr>
      <t>d</t>
    </r>
    <r>
      <rPr>
        <sz val="10"/>
        <rFont val="Arial"/>
        <family val="2"/>
      </rPr>
      <t xml:space="preserve"> =</t>
    </r>
  </si>
  <si>
    <r>
      <t>A</t>
    </r>
    <r>
      <rPr>
        <vertAlign val="subscript"/>
        <sz val="10"/>
        <rFont val="Arial"/>
        <family val="2"/>
      </rPr>
      <t>b</t>
    </r>
    <r>
      <rPr>
        <sz val="10"/>
        <rFont val="Arial"/>
        <family val="2"/>
      </rPr>
      <t xml:space="preserve"> =</t>
    </r>
  </si>
  <si>
    <r>
      <t>A</t>
    </r>
    <r>
      <rPr>
        <vertAlign val="subscript"/>
        <sz val="10"/>
        <rFont val="Arial"/>
        <family val="2"/>
      </rPr>
      <t>s</t>
    </r>
    <r>
      <rPr>
        <sz val="10"/>
        <rFont val="Arial"/>
        <family val="2"/>
      </rPr>
      <t xml:space="preserve"> =</t>
    </r>
  </si>
  <si>
    <t>Analysis Condition</t>
  </si>
  <si>
    <t>1. Pile geometry</t>
  </si>
  <si>
    <t>Design Approach 1, Combination 2</t>
  </si>
  <si>
    <r>
      <t>x</t>
    </r>
    <r>
      <rPr>
        <vertAlign val="subscript"/>
        <sz val="10"/>
        <rFont val="Symbol"/>
        <family val="1"/>
        <charset val="2"/>
      </rPr>
      <t>3</t>
    </r>
  </si>
  <si>
    <r>
      <t>x</t>
    </r>
    <r>
      <rPr>
        <vertAlign val="subscript"/>
        <sz val="10"/>
        <rFont val="Symbol"/>
        <family val="1"/>
        <charset val="2"/>
      </rPr>
      <t>4</t>
    </r>
  </si>
  <si>
    <t>Bored</t>
  </si>
  <si>
    <r>
      <t>γ</t>
    </r>
    <r>
      <rPr>
        <vertAlign val="subscript"/>
        <sz val="10"/>
        <color rgb="FF000000"/>
        <rFont val="Calibri"/>
        <family val="2"/>
        <scheme val="minor"/>
      </rPr>
      <t xml:space="preserve">b </t>
    </r>
    <r>
      <rPr>
        <sz val="10"/>
        <color rgb="FF000000"/>
        <rFont val="Calibri"/>
        <family val="2"/>
        <scheme val="minor"/>
      </rPr>
      <t>=</t>
    </r>
  </si>
  <si>
    <r>
      <t>Total, γ</t>
    </r>
    <r>
      <rPr>
        <vertAlign val="subscript"/>
        <sz val="10"/>
        <rFont val="Arial"/>
        <family val="2"/>
      </rPr>
      <t>t</t>
    </r>
  </si>
  <si>
    <r>
      <t>Shaft, γ</t>
    </r>
    <r>
      <rPr>
        <vertAlign val="subscript"/>
        <sz val="10"/>
        <rFont val="Arial"/>
        <family val="2"/>
      </rPr>
      <t>s</t>
    </r>
  </si>
  <si>
    <r>
      <t>Base, γ</t>
    </r>
    <r>
      <rPr>
        <vertAlign val="subscript"/>
        <sz val="10"/>
        <rFont val="Arial"/>
        <family val="2"/>
      </rPr>
      <t>b</t>
    </r>
  </si>
  <si>
    <t>3. Design Parameters</t>
  </si>
  <si>
    <t>Data Input</t>
  </si>
  <si>
    <t>2. Loads in action</t>
  </si>
  <si>
    <t>GWT =</t>
  </si>
  <si>
    <t>m (below ground level)</t>
  </si>
  <si>
    <t xml:space="preserve">Base resistance </t>
  </si>
  <si>
    <t>6. Soil bearing resistance for individual borehole</t>
  </si>
  <si>
    <t>Total resistance</t>
  </si>
  <si>
    <t>Borehole</t>
  </si>
  <si>
    <t>7. Design soil bearing resistance</t>
  </si>
  <si>
    <t>Groundwater table (drained condition only)</t>
  </si>
  <si>
    <t>kN (Including self weight of pile)</t>
  </si>
  <si>
    <t>Undrained</t>
  </si>
  <si>
    <t>4. Selection of correlation factor</t>
  </si>
  <si>
    <t>3. Characteristic material properties</t>
  </si>
  <si>
    <t>4. Result of the analysis</t>
  </si>
  <si>
    <t>(Please input data as required in drained/undrained analysis)</t>
  </si>
  <si>
    <r>
      <t xml:space="preserve">Partial Factors on Resistance </t>
    </r>
    <r>
      <rPr>
        <sz val="8"/>
        <rFont val="Arial Narrow"/>
        <family val="2"/>
      </rPr>
      <t>(Table A.6 &amp; A.7, EN 1997−1:2004)</t>
    </r>
  </si>
  <si>
    <t>Corelation Factors to derive characteristic values from ground test results (Table A.10, EN 1997−1:2004)</t>
  </si>
  <si>
    <t>This spreadsheet evaluates the vertical load-bearing capacity of a single pile in accordance with the Eurocode 7 Ultimate Limit State (ULS) approach. It can analyze both bored and driven piles under either drained or undrained conditions, depending on the input data. The analysis verifies Ground Failure (GEO) using partial factors on actions and soil resistance. Pile capacity is determined from the combined contribution of shaft friction and end bearing based on the soil profile and pile geometry, ensuring compliance with Eurocode 7 design principles.</t>
  </si>
  <si>
    <t>Shaft</t>
  </si>
  <si>
    <t>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</si>
</sst>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
  </numFmts>
  <fonts count="41" x14ac:knownFonts="1">
    <font>
      <sz val="10"/>
      <name val="Arial"/>
    </font>
    <font>
      <sz val="12"/>
      <color theme="1"/>
      <name val="Calibri"/>
      <family val="2"/>
      <scheme val="minor"/>
    </font>
    <font>
      <sz val="12"/>
      <color theme="1"/>
      <name val="Calibri"/>
      <family val="2"/>
      <scheme val="minor"/>
    </font>
    <font>
      <sz val="8"/>
      <name val="Arial"/>
      <family val="2"/>
    </font>
    <font>
      <b/>
      <sz val="10"/>
      <name val="Arial"/>
      <family val="2"/>
    </font>
    <font>
      <sz val="9"/>
      <name val="Verdana"/>
      <family val="2"/>
    </font>
    <font>
      <sz val="9"/>
      <color indexed="10"/>
      <name val="Arial"/>
      <family val="2"/>
    </font>
    <font>
      <sz val="10"/>
      <color indexed="10"/>
      <name val="Arial"/>
      <family val="2"/>
    </font>
    <font>
      <b/>
      <i/>
      <sz val="10"/>
      <name val="Arial"/>
      <family val="2"/>
    </font>
    <font>
      <u/>
      <sz val="7.5"/>
      <color indexed="12"/>
      <name val="Arial"/>
      <family val="2"/>
    </font>
    <font>
      <sz val="11"/>
      <color rgb="FF3F3F76"/>
      <name val="Calibri"/>
      <family val="2"/>
      <scheme val="minor"/>
    </font>
    <font>
      <b/>
      <sz val="8"/>
      <name val="Arial"/>
      <family val="2"/>
    </font>
    <font>
      <sz val="10"/>
      <color rgb="FF000000"/>
      <name val="Calibri"/>
      <family val="2"/>
      <scheme val="minor"/>
    </font>
    <font>
      <sz val="8"/>
      <name val="Arial"/>
      <family val="2"/>
    </font>
    <font>
      <sz val="8"/>
      <color theme="1"/>
      <name val="Roboto"/>
    </font>
    <font>
      <sz val="8"/>
      <color theme="1"/>
      <name val="Calibri"/>
      <family val="2"/>
      <scheme val="minor"/>
    </font>
    <font>
      <sz val="10"/>
      <name val="Arial"/>
      <family val="2"/>
    </font>
    <font>
      <b/>
      <sz val="10"/>
      <color rgb="FF0000FF"/>
      <name val="Arial"/>
      <family val="2"/>
    </font>
    <font>
      <sz val="10"/>
      <color rgb="FF0000FF"/>
      <name val="Arial"/>
      <family val="2"/>
    </font>
    <font>
      <vertAlign val="subscript"/>
      <sz val="10"/>
      <name val="Arial"/>
      <family val="2"/>
    </font>
    <font>
      <vertAlign val="superscript"/>
      <sz val="10"/>
      <name val="Arial"/>
      <family val="2"/>
    </font>
    <font>
      <b/>
      <sz val="10"/>
      <color theme="1"/>
      <name val="Arial"/>
      <family val="2"/>
    </font>
    <font>
      <b/>
      <sz val="10"/>
      <color rgb="FF000000"/>
      <name val="Calibri"/>
      <family val="2"/>
      <scheme val="minor"/>
    </font>
    <font>
      <sz val="10"/>
      <name val="Calibri"/>
      <family val="2"/>
      <scheme val="minor"/>
    </font>
    <font>
      <sz val="8"/>
      <name val="Roboto"/>
    </font>
    <font>
      <sz val="8"/>
      <name val="Calibri"/>
      <family val="2"/>
      <scheme val="minor"/>
    </font>
    <font>
      <vertAlign val="subscript"/>
      <sz val="10"/>
      <color rgb="FF000000"/>
      <name val="Calibri"/>
      <family val="2"/>
      <scheme val="minor"/>
    </font>
    <font>
      <sz val="10"/>
      <color theme="0"/>
      <name val="Arial"/>
      <family val="2"/>
    </font>
    <font>
      <b/>
      <i/>
      <sz val="10"/>
      <color theme="0"/>
      <name val="Arial"/>
      <family val="2"/>
    </font>
    <font>
      <sz val="10"/>
      <name val="Arial Narrow"/>
      <family val="2"/>
    </font>
    <font>
      <b/>
      <u/>
      <sz val="10"/>
      <name val="Arial"/>
      <family val="2"/>
    </font>
    <font>
      <b/>
      <i/>
      <sz val="9"/>
      <name val="Arial"/>
      <family val="2"/>
    </font>
    <font>
      <sz val="8"/>
      <name val="Arial"/>
      <family val="2"/>
    </font>
    <font>
      <sz val="10"/>
      <name val="Symbol"/>
      <family val="1"/>
      <charset val="2"/>
    </font>
    <font>
      <b/>
      <sz val="10"/>
      <color rgb="FF000000"/>
      <name val="Arial"/>
      <family val="2"/>
    </font>
    <font>
      <vertAlign val="subscript"/>
      <sz val="10"/>
      <name val="Symbol"/>
      <family val="1"/>
      <charset val="2"/>
    </font>
    <font>
      <sz val="10"/>
      <name val="Calibri"/>
      <family val="2"/>
    </font>
    <font>
      <sz val="9"/>
      <color indexed="81"/>
      <name val="Tahoma"/>
      <family val="2"/>
    </font>
    <font>
      <b/>
      <sz val="9"/>
      <color indexed="81"/>
      <name val="Tahoma"/>
      <family val="2"/>
    </font>
    <font>
      <sz val="10.5"/>
      <name val="Arial Narrow"/>
      <family val="2"/>
    </font>
    <font>
      <sz val="8"/>
      <name val="Arial Narrow"/>
      <family val="2"/>
    </font>
  </fonts>
  <fills count="4">
    <fill>
      <patternFill patternType="none"/>
    </fill>
    <fill>
      <patternFill patternType="gray125"/>
    </fill>
    <fill>
      <patternFill patternType="solid">
        <fgColor rgb="FFFFCC99"/>
      </patternFill>
    </fill>
    <fill>
      <patternFill patternType="solid">
        <fgColor theme="9" tint="0.79998168889431442"/>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theme="0" tint="-4.9989318521683403E-2"/>
      </left>
      <right/>
      <top style="hair">
        <color theme="0" tint="-4.9989318521683403E-2"/>
      </top>
      <bottom/>
      <diagonal/>
    </border>
    <border>
      <left/>
      <right style="hair">
        <color theme="0" tint="-4.9989318521683403E-2"/>
      </right>
      <top style="hair">
        <color theme="0" tint="-4.9989318521683403E-2"/>
      </top>
      <bottom/>
      <diagonal/>
    </border>
    <border>
      <left style="hair">
        <color theme="0" tint="-4.9989318521683403E-2"/>
      </left>
      <right/>
      <top/>
      <bottom/>
      <diagonal/>
    </border>
    <border>
      <left/>
      <right style="hair">
        <color theme="0" tint="-4.9989318521683403E-2"/>
      </right>
      <top/>
      <bottom/>
      <diagonal/>
    </border>
    <border>
      <left style="hair">
        <color theme="0" tint="-4.9989318521683403E-2"/>
      </left>
      <right/>
      <top/>
      <bottom style="hair">
        <color theme="0" tint="-4.9989318521683403E-2"/>
      </bottom>
      <diagonal/>
    </border>
    <border>
      <left/>
      <right style="hair">
        <color theme="0" tint="-4.9989318521683403E-2"/>
      </right>
      <top/>
      <bottom style="hair">
        <color theme="0" tint="-4.9989318521683403E-2"/>
      </bottom>
      <diagonal/>
    </border>
  </borders>
  <cellStyleXfs count="8">
    <xf numFmtId="0" fontId="0" fillId="0" borderId="0"/>
    <xf numFmtId="0" fontId="2" fillId="0" borderId="0"/>
    <xf numFmtId="0" fontId="9" fillId="0" borderId="0" applyNumberFormat="0" applyFill="0" applyBorder="0" applyAlignment="0" applyProtection="0">
      <alignment vertical="top"/>
      <protection locked="0"/>
    </xf>
    <xf numFmtId="0" fontId="1" fillId="0" borderId="0"/>
    <xf numFmtId="0" fontId="10" fillId="2" borderId="1" applyNumberFormat="0" applyAlignment="0" applyProtection="0"/>
    <xf numFmtId="0" fontId="16" fillId="0" borderId="0"/>
    <xf numFmtId="0" fontId="1" fillId="0" borderId="0"/>
    <xf numFmtId="9" fontId="16" fillId="0" borderId="0" applyFont="0" applyFill="0" applyBorder="0" applyAlignment="0" applyProtection="0"/>
  </cellStyleXfs>
  <cellXfs count="127">
    <xf numFmtId="0" fontId="0" fillId="0" borderId="0" xfId="0"/>
    <xf numFmtId="0" fontId="11" fillId="0" borderId="10" xfId="0" applyFont="1" applyBorder="1" applyAlignment="1">
      <alignment vertical="top"/>
    </xf>
    <xf numFmtId="14" fontId="11" fillId="0" borderId="10" xfId="0" applyNumberFormat="1" applyFont="1" applyBorder="1" applyAlignment="1">
      <alignment vertical="top"/>
    </xf>
    <xf numFmtId="0" fontId="16" fillId="0" borderId="0" xfId="0" applyFont="1" applyAlignment="1">
      <alignment horizontal="right" vertical="center"/>
    </xf>
    <xf numFmtId="2" fontId="16" fillId="0" borderId="0" xfId="0" applyNumberFormat="1" applyFont="1" applyAlignment="1">
      <alignment horizontal="right" vertical="center"/>
    </xf>
    <xf numFmtId="0" fontId="16" fillId="0" borderId="0" xfId="0" applyFont="1" applyAlignment="1">
      <alignment horizontal="left" vertical="center"/>
    </xf>
    <xf numFmtId="2" fontId="10" fillId="2" borderId="1" xfId="4" applyNumberFormat="1" applyAlignment="1" applyProtection="1">
      <alignment horizontal="right" vertical="center"/>
      <protection locked="0"/>
    </xf>
    <xf numFmtId="0" fontId="16" fillId="0" borderId="0" xfId="0" applyFont="1" applyAlignment="1">
      <alignment horizontal="center" vertical="center"/>
    </xf>
    <xf numFmtId="0" fontId="4" fillId="0" borderId="0" xfId="0" applyFont="1" applyAlignment="1">
      <alignment vertical="center"/>
    </xf>
    <xf numFmtId="0" fontId="16" fillId="0" borderId="0" xfId="0" applyFont="1" applyAlignment="1">
      <alignment vertical="center"/>
    </xf>
    <xf numFmtId="0" fontId="21" fillId="0" borderId="0" xfId="0" applyFont="1" applyAlignment="1">
      <alignment vertical="center"/>
    </xf>
    <xf numFmtId="2" fontId="10" fillId="2" borderId="1" xfId="4" applyNumberFormat="1" applyAlignment="1" applyProtection="1">
      <alignment vertical="center"/>
      <protection locked="0"/>
    </xf>
    <xf numFmtId="2" fontId="16" fillId="0" borderId="0" xfId="0" applyNumberFormat="1" applyFont="1" applyAlignment="1" applyProtection="1">
      <alignment vertical="center"/>
      <protection locked="0"/>
    </xf>
    <xf numFmtId="0" fontId="0" fillId="0" borderId="0" xfId="0" applyAlignment="1">
      <alignment vertical="center"/>
    </xf>
    <xf numFmtId="0" fontId="0" fillId="0" borderId="0" xfId="0" applyAlignment="1">
      <alignment horizontal="right" vertical="center"/>
    </xf>
    <xf numFmtId="0" fontId="12" fillId="0" borderId="0" xfId="0" applyFont="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9" xfId="0" applyFont="1" applyBorder="1" applyAlignment="1">
      <alignment vertical="center"/>
    </xf>
    <xf numFmtId="0" fontId="13" fillId="0" borderId="7" xfId="0" applyFont="1" applyBorder="1" applyAlignment="1">
      <alignment horizontal="left" vertical="center"/>
    </xf>
    <xf numFmtId="14" fontId="13" fillId="0" borderId="11" xfId="0" applyNumberFormat="1" applyFont="1" applyBorder="1" applyAlignment="1">
      <alignment horizontal="left" vertical="center"/>
    </xf>
    <xf numFmtId="0" fontId="13" fillId="0" borderId="2" xfId="0" applyFont="1" applyBorder="1" applyAlignment="1">
      <alignment horizontal="center" vertical="center"/>
    </xf>
    <xf numFmtId="0" fontId="13" fillId="0" borderId="11" xfId="0" applyFont="1" applyBorder="1" applyAlignment="1">
      <alignment horizontal="center" vertical="center"/>
    </xf>
    <xf numFmtId="0" fontId="17" fillId="0" borderId="0" xfId="0" applyFont="1" applyAlignment="1">
      <alignment vertical="center"/>
    </xf>
    <xf numFmtId="0" fontId="18" fillId="0" borderId="0" xfId="0" applyFont="1" applyAlignment="1">
      <alignment vertical="center"/>
    </xf>
    <xf numFmtId="0" fontId="8" fillId="0" borderId="0" xfId="0" applyFont="1" applyAlignment="1">
      <alignment vertical="center"/>
    </xf>
    <xf numFmtId="0" fontId="5" fillId="0" borderId="0" xfId="0" applyFont="1" applyAlignment="1">
      <alignment vertical="center"/>
    </xf>
    <xf numFmtId="2" fontId="7" fillId="0" borderId="0" xfId="0" applyNumberFormat="1" applyFont="1" applyAlignment="1">
      <alignment horizontal="center" vertical="center"/>
    </xf>
    <xf numFmtId="0" fontId="5" fillId="0" borderId="0" xfId="0" applyFont="1" applyAlignment="1">
      <alignment horizontal="center" vertical="center"/>
    </xf>
    <xf numFmtId="2" fontId="6" fillId="0" borderId="0" xfId="0" applyNumberFormat="1" applyFont="1" applyAlignment="1" applyProtection="1">
      <alignment horizontal="center" vertical="center"/>
      <protection locked="0"/>
    </xf>
    <xf numFmtId="0" fontId="23" fillId="0" borderId="0" xfId="0" applyFont="1" applyAlignment="1">
      <alignment vertical="center"/>
    </xf>
    <xf numFmtId="0" fontId="22" fillId="0" borderId="0" xfId="0" applyFont="1" applyAlignment="1">
      <alignment vertical="center"/>
    </xf>
    <xf numFmtId="0" fontId="10" fillId="2" borderId="1" xfId="4" applyAlignment="1">
      <alignment vertical="center"/>
    </xf>
    <xf numFmtId="2" fontId="16" fillId="0" borderId="0" xfId="0" applyNumberFormat="1" applyFont="1" applyAlignment="1">
      <alignment vertical="center"/>
    </xf>
    <xf numFmtId="164" fontId="16" fillId="0" borderId="0" xfId="0" applyNumberFormat="1" applyFont="1" applyAlignment="1">
      <alignment vertical="center"/>
    </xf>
    <xf numFmtId="0" fontId="16" fillId="0" borderId="0" xfId="0" applyFont="1" applyAlignment="1">
      <alignment horizontal="right"/>
    </xf>
    <xf numFmtId="0" fontId="12" fillId="0" borderId="0" xfId="0" applyFont="1" applyAlignment="1">
      <alignment horizontal="right" vertical="center"/>
    </xf>
    <xf numFmtId="0" fontId="4" fillId="0" borderId="0" xfId="0" applyFont="1" applyAlignment="1">
      <alignment horizontal="left" vertical="center"/>
    </xf>
    <xf numFmtId="0" fontId="27" fillId="0" borderId="0" xfId="0" applyFont="1" applyAlignment="1">
      <alignment vertical="center"/>
    </xf>
    <xf numFmtId="0" fontId="28" fillId="0" borderId="0" xfId="0" applyFont="1" applyAlignment="1">
      <alignment vertical="center"/>
    </xf>
    <xf numFmtId="2" fontId="10" fillId="2" borderId="1" xfId="4" applyNumberFormat="1" applyAlignment="1" applyProtection="1">
      <alignment horizontal="right" vertical="center"/>
    </xf>
    <xf numFmtId="0" fontId="30" fillId="0" borderId="0" xfId="0" applyFont="1" applyAlignment="1">
      <alignment horizontal="center" vertical="center"/>
    </xf>
    <xf numFmtId="0" fontId="31" fillId="0" borderId="0" xfId="0" applyFont="1" applyAlignment="1">
      <alignment vertical="center"/>
    </xf>
    <xf numFmtId="0" fontId="0" fillId="0" borderId="2" xfId="0" applyBorder="1" applyAlignment="1">
      <alignment horizontal="center" vertical="center"/>
    </xf>
    <xf numFmtId="0" fontId="16" fillId="0" borderId="2" xfId="0" applyFont="1" applyBorder="1" applyAlignment="1">
      <alignment horizontal="center" vertical="center"/>
    </xf>
    <xf numFmtId="0" fontId="11" fillId="0" borderId="0" xfId="0" applyFont="1" applyAlignment="1">
      <alignment horizontal="left" vertical="top" wrapText="1"/>
    </xf>
    <xf numFmtId="0" fontId="13" fillId="0" borderId="0" xfId="0" applyFont="1" applyAlignment="1">
      <alignment vertical="center"/>
    </xf>
    <xf numFmtId="0" fontId="11" fillId="0" borderId="0" xfId="0" applyFont="1" applyAlignment="1">
      <alignment horizontal="left" vertical="top"/>
    </xf>
    <xf numFmtId="14" fontId="11" fillId="0" borderId="0" xfId="0" applyNumberFormat="1" applyFont="1" applyAlignment="1">
      <alignment vertical="top"/>
    </xf>
    <xf numFmtId="14" fontId="13" fillId="0" borderId="0" xfId="0" applyNumberFormat="1" applyFont="1" applyAlignment="1">
      <alignment horizontal="left" vertical="center"/>
    </xf>
    <xf numFmtId="0" fontId="13" fillId="0" borderId="0" xfId="0" applyFont="1" applyAlignment="1">
      <alignment horizontal="center" vertical="center"/>
    </xf>
    <xf numFmtId="0" fontId="33" fillId="0" borderId="2" xfId="0" applyFont="1" applyBorder="1" applyAlignment="1">
      <alignment horizontal="center" vertical="center"/>
    </xf>
    <xf numFmtId="2" fontId="10" fillId="2" borderId="1" xfId="4" applyNumberFormat="1" applyAlignment="1" applyProtection="1">
      <alignment horizontal="center" vertical="center"/>
      <protection locked="0"/>
    </xf>
    <xf numFmtId="0" fontId="29" fillId="0" borderId="2" xfId="0" applyFont="1" applyBorder="1" applyAlignment="1">
      <alignment horizontal="center" vertical="center"/>
    </xf>
    <xf numFmtId="0" fontId="16" fillId="0" borderId="0" xfId="0" applyFont="1" applyAlignment="1">
      <alignment vertical="center" wrapText="1"/>
    </xf>
    <xf numFmtId="0" fontId="34" fillId="0" borderId="0" xfId="0" applyFont="1" applyAlignment="1">
      <alignment vertical="center"/>
    </xf>
    <xf numFmtId="10" fontId="16" fillId="0" borderId="0" xfId="0" applyNumberFormat="1" applyFont="1" applyAlignment="1">
      <alignment vertical="center"/>
    </xf>
    <xf numFmtId="2" fontId="4" fillId="0" borderId="0" xfId="0" applyNumberFormat="1" applyFont="1" applyAlignment="1">
      <alignment vertical="center"/>
    </xf>
    <xf numFmtId="10" fontId="4" fillId="0" borderId="0" xfId="0" applyNumberFormat="1" applyFont="1" applyAlignment="1">
      <alignment vertical="center"/>
    </xf>
    <xf numFmtId="0" fontId="29" fillId="0" borderId="0" xfId="0" applyFont="1" applyAlignment="1">
      <alignment horizontal="center" vertical="center"/>
    </xf>
    <xf numFmtId="0" fontId="0" fillId="0" borderId="0" xfId="0" applyAlignment="1">
      <alignment horizontal="center" vertical="center"/>
    </xf>
    <xf numFmtId="0" fontId="10" fillId="2" borderId="1" xfId="4" applyAlignment="1">
      <alignment horizontal="center" vertical="center"/>
    </xf>
    <xf numFmtId="2" fontId="10" fillId="2" borderId="1" xfId="4" applyNumberFormat="1" applyAlignment="1">
      <alignment horizontal="center" vertical="center"/>
    </xf>
    <xf numFmtId="0" fontId="16" fillId="0" borderId="0" xfId="0" applyFont="1" applyAlignment="1">
      <alignment horizontal="center"/>
    </xf>
    <xf numFmtId="0" fontId="30" fillId="0" borderId="0" xfId="0" applyFont="1" applyAlignment="1">
      <alignment vertical="center"/>
    </xf>
    <xf numFmtId="0" fontId="3" fillId="0" borderId="0" xfId="0" applyFont="1" applyAlignment="1">
      <alignment horizontal="right"/>
    </xf>
    <xf numFmtId="2" fontId="0" fillId="0" borderId="0" xfId="0" applyNumberFormat="1"/>
    <xf numFmtId="0" fontId="36" fillId="0" borderId="0" xfId="0" applyFont="1" applyAlignment="1">
      <alignment horizontal="right"/>
    </xf>
    <xf numFmtId="0" fontId="33" fillId="0" borderId="0" xfId="0" applyFont="1" applyAlignment="1">
      <alignment horizontal="right"/>
    </xf>
    <xf numFmtId="0" fontId="0" fillId="0" borderId="0" xfId="0" applyAlignment="1">
      <alignment horizontal="center"/>
    </xf>
    <xf numFmtId="0" fontId="16" fillId="3" borderId="14" xfId="0" applyFont="1" applyFill="1" applyBorder="1" applyAlignment="1">
      <alignment horizontal="right" vertical="center"/>
    </xf>
    <xf numFmtId="0" fontId="16" fillId="3" borderId="17" xfId="0" applyFont="1" applyFill="1" applyBorder="1" applyAlignment="1">
      <alignment horizontal="right" vertical="center"/>
    </xf>
    <xf numFmtId="2" fontId="16" fillId="3" borderId="0" xfId="0" applyNumberFormat="1" applyFont="1" applyFill="1" applyAlignment="1">
      <alignment horizontal="right" vertical="center"/>
    </xf>
    <xf numFmtId="0" fontId="16" fillId="3" borderId="19" xfId="0" applyFont="1" applyFill="1" applyBorder="1" applyAlignment="1">
      <alignment horizontal="right" vertical="center"/>
    </xf>
    <xf numFmtId="2" fontId="16" fillId="3" borderId="15" xfId="0" applyNumberFormat="1" applyFont="1" applyFill="1" applyBorder="1" applyAlignment="1">
      <alignment horizontal="right" vertical="center"/>
    </xf>
    <xf numFmtId="0" fontId="16" fillId="3" borderId="15" xfId="0" applyFont="1" applyFill="1" applyBorder="1" applyAlignment="1">
      <alignment horizontal="left" vertical="center"/>
    </xf>
    <xf numFmtId="2" fontId="16" fillId="3" borderId="15" xfId="0" applyNumberFormat="1" applyFont="1" applyFill="1" applyBorder="1" applyAlignment="1">
      <alignment vertical="center"/>
    </xf>
    <xf numFmtId="0" fontId="16" fillId="3" borderId="16" xfId="0" applyFont="1" applyFill="1" applyBorder="1" applyAlignment="1">
      <alignment horizontal="left" vertical="center"/>
    </xf>
    <xf numFmtId="0" fontId="16" fillId="3" borderId="0" xfId="0" applyFont="1" applyFill="1" applyAlignment="1">
      <alignment horizontal="left" vertical="center"/>
    </xf>
    <xf numFmtId="2" fontId="16" fillId="3" borderId="0" xfId="0" applyNumberFormat="1" applyFont="1" applyFill="1" applyAlignment="1">
      <alignment vertical="center"/>
    </xf>
    <xf numFmtId="0" fontId="16" fillId="3" borderId="18" xfId="0" applyFont="1" applyFill="1" applyBorder="1" applyAlignment="1">
      <alignment horizontal="left" vertical="center"/>
    </xf>
    <xf numFmtId="2" fontId="16" fillId="3" borderId="20" xfId="0" applyNumberFormat="1" applyFont="1" applyFill="1" applyBorder="1" applyAlignment="1">
      <alignment horizontal="right" vertical="center"/>
    </xf>
    <xf numFmtId="0" fontId="16" fillId="3" borderId="20" xfId="0" applyFont="1" applyFill="1" applyBorder="1" applyAlignment="1">
      <alignment horizontal="left" vertical="center"/>
    </xf>
    <xf numFmtId="2" fontId="16" fillId="3" borderId="20" xfId="0" applyNumberFormat="1" applyFont="1" applyFill="1" applyBorder="1" applyAlignment="1">
      <alignment vertical="center"/>
    </xf>
    <xf numFmtId="0" fontId="16" fillId="3" borderId="21" xfId="0" applyFont="1" applyFill="1" applyBorder="1" applyAlignment="1">
      <alignment horizontal="left" vertical="center"/>
    </xf>
    <xf numFmtId="0" fontId="16" fillId="3" borderId="15" xfId="0" applyFont="1" applyFill="1" applyBorder="1" applyAlignment="1">
      <alignment horizontal="center" vertical="center"/>
    </xf>
    <xf numFmtId="0" fontId="16" fillId="3" borderId="16" xfId="0" applyFont="1" applyFill="1" applyBorder="1" applyAlignment="1">
      <alignment horizontal="center" vertical="center"/>
    </xf>
    <xf numFmtId="2" fontId="16" fillId="3" borderId="0" xfId="0" applyNumberFormat="1" applyFont="1" applyFill="1" applyAlignment="1">
      <alignment horizontal="center" vertical="center"/>
    </xf>
    <xf numFmtId="2" fontId="16" fillId="3" borderId="18" xfId="0" applyNumberFormat="1" applyFont="1" applyFill="1" applyBorder="1" applyAlignment="1">
      <alignment horizontal="center" vertical="center"/>
    </xf>
    <xf numFmtId="2" fontId="16" fillId="3" borderId="21" xfId="0" applyNumberFormat="1" applyFont="1" applyFill="1" applyBorder="1" applyAlignment="1">
      <alignment horizontal="center" vertical="center"/>
    </xf>
    <xf numFmtId="2" fontId="16" fillId="3" borderId="15" xfId="0" applyNumberFormat="1" applyFont="1" applyFill="1" applyBorder="1" applyAlignment="1">
      <alignment horizontal="center" vertical="center"/>
    </xf>
    <xf numFmtId="2" fontId="16" fillId="3" borderId="20" xfId="0" applyNumberFormat="1" applyFont="1" applyFill="1" applyBorder="1" applyAlignment="1">
      <alignment horizontal="center" vertical="center"/>
    </xf>
    <xf numFmtId="0" fontId="39" fillId="0" borderId="0" xfId="0" applyFont="1" applyAlignment="1">
      <alignment vertical="center"/>
    </xf>
    <xf numFmtId="2" fontId="0" fillId="0" borderId="0" xfId="0" applyNumberFormat="1" applyAlignment="1">
      <alignment vertical="center"/>
    </xf>
    <xf numFmtId="0" fontId="31" fillId="0" borderId="22" xfId="0" applyFont="1" applyBorder="1" applyAlignment="1">
      <alignment horizontal="left" vertical="center"/>
    </xf>
    <xf numFmtId="0" fontId="0" fillId="0" borderId="23" xfId="0" applyBorder="1" applyAlignment="1">
      <alignment vertical="center"/>
    </xf>
    <xf numFmtId="0" fontId="16" fillId="0" borderId="24" xfId="0" applyFont="1" applyBorder="1" applyAlignment="1">
      <alignment horizontal="center"/>
    </xf>
    <xf numFmtId="0" fontId="16" fillId="0" borderId="25" xfId="0" applyFont="1" applyBorder="1" applyAlignment="1">
      <alignment horizontal="center"/>
    </xf>
    <xf numFmtId="2" fontId="10" fillId="0" borderId="24" xfId="4" applyNumberFormat="1" applyFill="1" applyBorder="1" applyAlignment="1" applyProtection="1">
      <alignment vertical="center"/>
      <protection locked="0"/>
    </xf>
    <xf numFmtId="2" fontId="10" fillId="0" borderId="25" xfId="4" applyNumberFormat="1" applyFill="1" applyBorder="1" applyAlignment="1" applyProtection="1">
      <alignment vertical="center"/>
      <protection locked="0"/>
    </xf>
    <xf numFmtId="2" fontId="10" fillId="0" borderId="26" xfId="4" applyNumberFormat="1" applyFill="1" applyBorder="1" applyAlignment="1" applyProtection="1">
      <alignment vertical="center"/>
      <protection locked="0"/>
    </xf>
    <xf numFmtId="2" fontId="10" fillId="0" borderId="27" xfId="4" applyNumberFormat="1" applyFill="1" applyBorder="1" applyAlignment="1" applyProtection="1">
      <alignment vertical="center"/>
      <protection locked="0"/>
    </xf>
    <xf numFmtId="0" fontId="16" fillId="0" borderId="0" xfId="0" applyFont="1" applyAlignment="1">
      <alignment horizontal="left" vertical="center" wrapText="1"/>
    </xf>
    <xf numFmtId="0" fontId="16" fillId="0" borderId="3" xfId="0" applyFont="1" applyBorder="1" applyAlignment="1">
      <alignment horizontal="center" vertical="center"/>
    </xf>
    <xf numFmtId="0" fontId="16" fillId="0" borderId="12" xfId="0" applyFont="1" applyBorder="1" applyAlignment="1">
      <alignment horizontal="center" vertical="center"/>
    </xf>
    <xf numFmtId="0" fontId="16" fillId="0" borderId="3"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2" xfId="0" applyFont="1" applyBorder="1" applyAlignment="1">
      <alignment horizontal="center" vertical="center" wrapText="1"/>
    </xf>
    <xf numFmtId="0" fontId="0" fillId="0" borderId="13" xfId="0" applyBorder="1" applyAlignment="1">
      <alignment horizontal="center" vertical="center"/>
    </xf>
    <xf numFmtId="0" fontId="0" fillId="0" borderId="12" xfId="0" applyBorder="1" applyAlignment="1">
      <alignment horizontal="center" vertical="center"/>
    </xf>
    <xf numFmtId="0" fontId="13" fillId="0" borderId="2" xfId="0" applyFont="1" applyBorder="1" applyAlignment="1">
      <alignment horizontal="center" vertical="center"/>
    </xf>
    <xf numFmtId="0" fontId="13" fillId="0" borderId="1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4" xfId="0" applyFont="1" applyBorder="1" applyAlignment="1">
      <alignment horizontal="left" vertical="top"/>
    </xf>
    <xf numFmtId="0" fontId="11" fillId="0" borderId="6" xfId="0" applyFont="1" applyBorder="1" applyAlignment="1">
      <alignment horizontal="left" vertical="top"/>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20" xfId="0" applyFont="1" applyBorder="1" applyAlignment="1">
      <alignment horizontal="center" vertical="center"/>
    </xf>
    <xf numFmtId="0" fontId="16" fillId="0" borderId="2" xfId="0" applyFont="1" applyBorder="1" applyAlignment="1">
      <alignment horizontal="center" vertical="center"/>
    </xf>
    <xf numFmtId="0" fontId="24"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cellXfs>
  <cellStyles count="8">
    <cellStyle name="Hyperlink 2" xfId="2" xr:uid="{00000000-0005-0000-0000-000000000000}"/>
    <cellStyle name="Input" xfId="4" builtinId="20"/>
    <cellStyle name="Normal" xfId="0" builtinId="0"/>
    <cellStyle name="Normal 2" xfId="1" xr:uid="{00000000-0005-0000-0000-000002000000}"/>
    <cellStyle name="Normal 2 2" xfId="6" xr:uid="{8C280D19-B726-4D16-8C75-C12663E30740}"/>
    <cellStyle name="Normal 3" xfId="3" xr:uid="{00000000-0005-0000-0000-000003000000}"/>
    <cellStyle name="Normal 4" xfId="5" xr:uid="{38EF4285-E670-45AA-8445-1B6CE619A6FD}"/>
    <cellStyle name="Percent 2" xfId="7" xr:uid="{9318B3B0-964A-483E-8FF4-E04251B131CC}"/>
  </cellStyles>
  <dxfs count="5">
    <dxf>
      <font>
        <color rgb="FFFF0000"/>
      </font>
    </dxf>
    <dxf>
      <font>
        <color rgb="FFFF0000"/>
      </font>
    </dxf>
    <dxf>
      <fill>
        <patternFill>
          <bgColor rgb="FFFFCC99"/>
        </patternFill>
      </fill>
      <border>
        <left style="thin">
          <color theme="0" tint="-0.499984740745262"/>
        </left>
        <right style="thin">
          <color theme="0" tint="-0.499984740745262"/>
        </right>
        <top style="thin">
          <color theme="0" tint="-0.499984740745262"/>
        </top>
        <bottom style="thin">
          <color theme="0" tint="-0.499984740745262"/>
        </bottom>
      </border>
    </dxf>
    <dxf>
      <font>
        <color rgb="FFFF0000"/>
      </font>
    </dxf>
    <dxf>
      <font>
        <color rgb="FFFF0000"/>
      </font>
    </dxf>
  </dxfs>
  <tableStyles count="0" defaultTableStyle="TableStyleMedium9" defaultPivotStyle="PivotStyleMedium4"/>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85302</xdr:colOff>
      <xdr:row>0</xdr:row>
      <xdr:rowOff>28575</xdr:rowOff>
    </xdr:from>
    <xdr:to>
      <xdr:col>2</xdr:col>
      <xdr:colOff>378998</xdr:colOff>
      <xdr:row>2</xdr:row>
      <xdr:rowOff>160019</xdr:rowOff>
    </xdr:to>
    <xdr:pic>
      <xdr:nvPicPr>
        <xdr:cNvPr id="2" name="Picture 1">
          <a:extLst>
            <a:ext uri="{FF2B5EF4-FFF2-40B4-BE49-F238E27FC236}">
              <a16:creationId xmlns:a16="http://schemas.microsoft.com/office/drawing/2014/main" id="{84CB8817-0B5E-4699-9DD2-D3401EBC8B02}"/>
            </a:ext>
          </a:extLst>
        </xdr:cNvPr>
        <xdr:cNvPicPr>
          <a:picLocks noChangeAspect="1"/>
        </xdr:cNvPicPr>
      </xdr:nvPicPr>
      <xdr:blipFill>
        <a:blip xmlns:r="http://schemas.openxmlformats.org/officeDocument/2006/relationships" r:embed="rId1"/>
        <a:stretch>
          <a:fillRect/>
        </a:stretch>
      </xdr:blipFill>
      <xdr:spPr>
        <a:xfrm>
          <a:off x="85302" y="28575"/>
          <a:ext cx="1493846" cy="512444"/>
        </a:xfrm>
        <a:prstGeom prst="rect">
          <a:avLst/>
        </a:prstGeom>
      </xdr:spPr>
    </xdr:pic>
    <xdr:clientData/>
  </xdr:twoCellAnchor>
  <xdr:twoCellAnchor>
    <xdr:from>
      <xdr:col>26</xdr:col>
      <xdr:colOff>95250</xdr:colOff>
      <xdr:row>2</xdr:row>
      <xdr:rowOff>19050</xdr:rowOff>
    </xdr:from>
    <xdr:to>
      <xdr:col>28</xdr:col>
      <xdr:colOff>200026</xdr:colOff>
      <xdr:row>6</xdr:row>
      <xdr:rowOff>95250</xdr:rowOff>
    </xdr:to>
    <xdr:sp macro="" textlink="">
      <xdr:nvSpPr>
        <xdr:cNvPr id="3" name="TextBox 2">
          <a:extLst>
            <a:ext uri="{FF2B5EF4-FFF2-40B4-BE49-F238E27FC236}">
              <a16:creationId xmlns:a16="http://schemas.microsoft.com/office/drawing/2014/main" id="{96ED6A05-C3F5-F77D-3FD7-851E5BA46CA4}"/>
            </a:ext>
          </a:extLst>
        </xdr:cNvPr>
        <xdr:cNvSpPr txBox="1"/>
      </xdr:nvSpPr>
      <xdr:spPr>
        <a:xfrm>
          <a:off x="16278225" y="400050"/>
          <a:ext cx="1438276" cy="8382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u="sng">
              <a:latin typeface="Arial" panose="020B0604020202020204" pitchFamily="34" charset="0"/>
              <a:cs typeface="Arial" panose="020B0604020202020204" pitchFamily="34" charset="0"/>
            </a:rPr>
            <a:t>Used Load cases</a:t>
          </a:r>
        </a:p>
        <a:p>
          <a:pPr algn="ctr"/>
          <a:endParaRPr lang="en-US" sz="1100" u="sng">
            <a:latin typeface="Arial" panose="020B0604020202020204" pitchFamily="34" charset="0"/>
            <a:cs typeface="Arial" panose="020B0604020202020204" pitchFamily="34" charset="0"/>
          </a:endParaRPr>
        </a:p>
        <a:p>
          <a:pPr algn="ctr"/>
          <a:r>
            <a:rPr lang="en-US" sz="1100">
              <a:latin typeface="Arial" panose="020B0604020202020204" pitchFamily="34" charset="0"/>
              <a:cs typeface="Arial" panose="020B0604020202020204" pitchFamily="34" charset="0"/>
            </a:rPr>
            <a:t>DA1-1: A1+M1+R1</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Arial" panose="020B0604020202020204" pitchFamily="34" charset="0"/>
              <a:ea typeface="+mn-ea"/>
              <a:cs typeface="Arial" panose="020B0604020202020204" pitchFamily="34" charset="0"/>
            </a:rPr>
            <a:t>DA1-2: A2+M1+R4</a:t>
          </a:r>
          <a:endParaRPr lang="en-US">
            <a:effectLst/>
            <a:latin typeface="Arial" panose="020B0604020202020204" pitchFamily="34" charset="0"/>
            <a:cs typeface="Arial" panose="020B0604020202020204" pitchFamily="34" charset="0"/>
          </a:endParaRPr>
        </a:p>
      </xdr:txBody>
    </xdr:sp>
    <xdr:clientData/>
  </xdr:twoCellAnchor>
  <xdr:twoCellAnchor>
    <xdr:from>
      <xdr:col>23</xdr:col>
      <xdr:colOff>361950</xdr:colOff>
      <xdr:row>16</xdr:row>
      <xdr:rowOff>152400</xdr:rowOff>
    </xdr:from>
    <xdr:to>
      <xdr:col>28</xdr:col>
      <xdr:colOff>637863</xdr:colOff>
      <xdr:row>39</xdr:row>
      <xdr:rowOff>85725</xdr:rowOff>
    </xdr:to>
    <xdr:grpSp>
      <xdr:nvGrpSpPr>
        <xdr:cNvPr id="8" name="Group 7">
          <a:extLst>
            <a:ext uri="{FF2B5EF4-FFF2-40B4-BE49-F238E27FC236}">
              <a16:creationId xmlns:a16="http://schemas.microsoft.com/office/drawing/2014/main" id="{421759D7-14B2-B58F-D42A-89F253CC92D9}"/>
            </a:ext>
          </a:extLst>
        </xdr:cNvPr>
        <xdr:cNvGrpSpPr/>
      </xdr:nvGrpSpPr>
      <xdr:grpSpPr>
        <a:xfrm>
          <a:off x="15259050" y="2914650"/>
          <a:ext cx="3800163" cy="3657600"/>
          <a:chOff x="7820025" y="2514600"/>
          <a:chExt cx="3609663" cy="3657600"/>
        </a:xfrm>
      </xdr:grpSpPr>
      <xdr:pic>
        <xdr:nvPicPr>
          <xdr:cNvPr id="6" name="Picture 5">
            <a:extLst>
              <a:ext uri="{FF2B5EF4-FFF2-40B4-BE49-F238E27FC236}">
                <a16:creationId xmlns:a16="http://schemas.microsoft.com/office/drawing/2014/main" id="{22D79496-DF39-4FDB-F891-DAC338D4AC48}"/>
              </a:ext>
            </a:extLst>
          </xdr:cNvPr>
          <xdr:cNvPicPr>
            <a:picLocks noChangeAspect="1"/>
          </xdr:cNvPicPr>
        </xdr:nvPicPr>
        <xdr:blipFill>
          <a:blip xmlns:r="http://schemas.openxmlformats.org/officeDocument/2006/relationships" r:embed="rId2"/>
          <a:stretch>
            <a:fillRect/>
          </a:stretch>
        </xdr:blipFill>
        <xdr:spPr>
          <a:xfrm>
            <a:off x="7820025" y="2514600"/>
            <a:ext cx="3609663" cy="3657600"/>
          </a:xfrm>
          <a:prstGeom prst="rect">
            <a:avLst/>
          </a:prstGeom>
        </xdr:spPr>
      </xdr:pic>
      <xdr:sp macro="" textlink="">
        <xdr:nvSpPr>
          <xdr:cNvPr id="7" name="TextBox 6">
            <a:extLst>
              <a:ext uri="{FF2B5EF4-FFF2-40B4-BE49-F238E27FC236}">
                <a16:creationId xmlns:a16="http://schemas.microsoft.com/office/drawing/2014/main" id="{1379CBE7-B59A-CA91-5DBB-6ED74A27AA6D}"/>
              </a:ext>
            </a:extLst>
          </xdr:cNvPr>
          <xdr:cNvSpPr txBox="1"/>
        </xdr:nvSpPr>
        <xdr:spPr>
          <a:xfrm>
            <a:off x="7905751" y="5838824"/>
            <a:ext cx="34290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700">
                <a:latin typeface="Arial" panose="020B0604020202020204" pitchFamily="34" charset="0"/>
                <a:cs typeface="Arial" panose="020B0604020202020204" pitchFamily="34" charset="0"/>
              </a:rPr>
              <a:t>Bearing capacity factor Nq for deep foundation (After Berezantzev et. al. 1961)</a:t>
            </a:r>
          </a:p>
        </xdr:txBody>
      </xdr:sp>
    </xdr:grpSp>
    <xdr:clientData/>
  </xdr:twoCellAnchor>
  <xdr:twoCellAnchor>
    <xdr:from>
      <xdr:col>23</xdr:col>
      <xdr:colOff>647700</xdr:colOff>
      <xdr:row>39</xdr:row>
      <xdr:rowOff>114300</xdr:rowOff>
    </xdr:from>
    <xdr:to>
      <xdr:col>28</xdr:col>
      <xdr:colOff>447675</xdr:colOff>
      <xdr:row>62</xdr:row>
      <xdr:rowOff>85724</xdr:rowOff>
    </xdr:to>
    <xdr:sp macro="" textlink="">
      <xdr:nvSpPr>
        <xdr:cNvPr id="9" name="TextBox 8">
          <a:extLst>
            <a:ext uri="{FF2B5EF4-FFF2-40B4-BE49-F238E27FC236}">
              <a16:creationId xmlns:a16="http://schemas.microsoft.com/office/drawing/2014/main" id="{A24FC4CC-2807-483A-4EF4-4B03AD965DA5}"/>
            </a:ext>
          </a:extLst>
        </xdr:cNvPr>
        <xdr:cNvSpPr txBox="1"/>
      </xdr:nvSpPr>
      <xdr:spPr>
        <a:xfrm>
          <a:off x="14830425" y="6600825"/>
          <a:ext cx="3133725" cy="369569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t>Pile design formula</a:t>
          </a:r>
        </a:p>
        <a:p>
          <a:pPr algn="ctr"/>
          <a:endParaRPr lang="en-US" sz="1100" b="1" u="sng"/>
        </a:p>
        <a:p>
          <a:r>
            <a:rPr lang="en-US" sz="1100" b="1" u="none"/>
            <a:t>Undrained Condition:</a:t>
          </a:r>
        </a:p>
        <a:p>
          <a:r>
            <a:rPr lang="en-US" sz="1100"/>
            <a:t>Base = Nc Cb Ab</a:t>
          </a:r>
        </a:p>
        <a:p>
          <a:r>
            <a:rPr lang="en-US" sz="1100"/>
            <a:t>Shaft = </a:t>
          </a:r>
          <a:r>
            <a:rPr lang="el-GR" sz="1100"/>
            <a:t>α</a:t>
          </a:r>
          <a:r>
            <a:rPr lang="en-US" sz="1100"/>
            <a:t> Cu As</a:t>
          </a:r>
        </a:p>
        <a:p>
          <a:r>
            <a:rPr lang="en-US" sz="1100"/>
            <a:t>Where;</a:t>
          </a:r>
        </a:p>
        <a:p>
          <a:r>
            <a:rPr lang="en-US" sz="1100"/>
            <a:t>Nc</a:t>
          </a:r>
          <a:r>
            <a:rPr lang="en-US" sz="1100" baseline="0"/>
            <a:t> = 9</a:t>
          </a:r>
        </a:p>
        <a:p>
          <a:r>
            <a:rPr lang="el-GR" sz="1100">
              <a:solidFill>
                <a:schemeClr val="dk1"/>
              </a:solidFill>
              <a:effectLst/>
              <a:latin typeface="+mn-lt"/>
              <a:ea typeface="+mn-ea"/>
              <a:cs typeface="+mn-cs"/>
            </a:rPr>
            <a:t>α</a:t>
          </a:r>
          <a:r>
            <a:rPr lang="en-US" sz="1100">
              <a:solidFill>
                <a:schemeClr val="dk1"/>
              </a:solidFill>
              <a:effectLst/>
              <a:latin typeface="+mn-lt"/>
              <a:ea typeface="+mn-ea"/>
              <a:cs typeface="+mn-cs"/>
            </a:rPr>
            <a:t> = 0.7, but 1 for soft clay (Cohesion &lt;50 kPa)</a:t>
          </a:r>
        </a:p>
        <a:p>
          <a:r>
            <a:rPr lang="en-US" sz="1100">
              <a:solidFill>
                <a:schemeClr val="dk1"/>
              </a:solidFill>
              <a:effectLst/>
              <a:latin typeface="+mn-lt"/>
              <a:ea typeface="+mn-ea"/>
              <a:cs typeface="+mn-cs"/>
            </a:rPr>
            <a:t>Cb/Cu</a:t>
          </a:r>
          <a:r>
            <a:rPr lang="en-US" sz="1100" baseline="0">
              <a:solidFill>
                <a:schemeClr val="dk1"/>
              </a:solidFill>
              <a:effectLst/>
              <a:latin typeface="+mn-lt"/>
              <a:ea typeface="+mn-ea"/>
              <a:cs typeface="+mn-cs"/>
            </a:rPr>
            <a:t> = Undrained shearstrength/Cohesion</a:t>
          </a:r>
        </a:p>
        <a:p>
          <a:r>
            <a:rPr lang="en-US" sz="1100" baseline="0">
              <a:solidFill>
                <a:schemeClr val="dk1"/>
              </a:solidFill>
              <a:effectLst/>
              <a:latin typeface="+mn-lt"/>
              <a:ea typeface="+mn-ea"/>
              <a:cs typeface="+mn-cs"/>
            </a:rPr>
            <a:t>Ab = Base area</a:t>
          </a:r>
        </a:p>
        <a:p>
          <a:r>
            <a:rPr lang="en-US" sz="1100" baseline="0">
              <a:solidFill>
                <a:schemeClr val="dk1"/>
              </a:solidFill>
              <a:effectLst/>
              <a:latin typeface="+mn-lt"/>
              <a:ea typeface="+mn-ea"/>
              <a:cs typeface="+mn-cs"/>
            </a:rPr>
            <a:t>As = Shaft area</a:t>
          </a:r>
        </a:p>
        <a:p>
          <a:endParaRPr lang="en-US" sz="1100" baseline="0">
            <a:solidFill>
              <a:schemeClr val="dk1"/>
            </a:solidFill>
            <a:effectLst/>
            <a:latin typeface="+mn-lt"/>
            <a:ea typeface="+mn-ea"/>
            <a:cs typeface="+mn-cs"/>
          </a:endParaRPr>
        </a:p>
        <a:p>
          <a:r>
            <a:rPr lang="en-US" sz="1100" b="1">
              <a:solidFill>
                <a:schemeClr val="dk1"/>
              </a:solidFill>
              <a:effectLst/>
              <a:latin typeface="+mn-lt"/>
              <a:ea typeface="+mn-ea"/>
              <a:cs typeface="+mn-cs"/>
            </a:rPr>
            <a:t>Drained Condition:</a:t>
          </a:r>
          <a:endParaRPr lang="en-US">
            <a:effectLst/>
          </a:endParaRPr>
        </a:p>
        <a:p>
          <a:r>
            <a:rPr lang="en-US" sz="1100">
              <a:solidFill>
                <a:schemeClr val="dk1"/>
              </a:solidFill>
              <a:effectLst/>
              <a:latin typeface="+mn-lt"/>
              <a:ea typeface="+mn-ea"/>
              <a:cs typeface="+mn-cs"/>
            </a:rPr>
            <a:t>Base = </a:t>
          </a:r>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Nq Ab</a:t>
          </a:r>
          <a:endParaRPr lang="en-US">
            <a:effectLst/>
          </a:endParaRPr>
        </a:p>
        <a:p>
          <a:r>
            <a:rPr lang="en-US" sz="1100">
              <a:solidFill>
                <a:schemeClr val="dk1"/>
              </a:solidFill>
              <a:effectLst/>
              <a:latin typeface="+mn-lt"/>
              <a:ea typeface="+mn-ea"/>
              <a:cs typeface="+mn-cs"/>
            </a:rPr>
            <a:t>Shaft = Ks </a:t>
          </a:r>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tan</a:t>
          </a:r>
          <a:r>
            <a:rPr lang="el-GR" sz="1100">
              <a:solidFill>
                <a:schemeClr val="dk1"/>
              </a:solidFill>
              <a:effectLst/>
              <a:latin typeface="+mn-lt"/>
              <a:ea typeface="+mn-ea"/>
              <a:cs typeface="+mn-cs"/>
            </a:rPr>
            <a:t>δ</a:t>
          </a:r>
          <a:r>
            <a:rPr lang="en-US" sz="1100">
              <a:solidFill>
                <a:schemeClr val="dk1"/>
              </a:solidFill>
              <a:effectLst/>
              <a:latin typeface="+mn-lt"/>
              <a:ea typeface="+mn-ea"/>
              <a:cs typeface="+mn-cs"/>
            </a:rPr>
            <a:t> As</a:t>
          </a:r>
          <a:endParaRPr lang="en-US">
            <a:effectLst/>
          </a:endParaRPr>
        </a:p>
        <a:p>
          <a:r>
            <a:rPr lang="en-US" sz="1100">
              <a:solidFill>
                <a:schemeClr val="dk1"/>
              </a:solidFill>
              <a:effectLst/>
              <a:latin typeface="+mn-lt"/>
              <a:ea typeface="+mn-ea"/>
              <a:cs typeface="+mn-cs"/>
            </a:rPr>
            <a:t>Where;</a:t>
          </a:r>
          <a:endParaRPr lang="en-US">
            <a:effectLst/>
          </a:endParaRPr>
        </a:p>
        <a:p>
          <a:r>
            <a:rPr lang="en-US" sz="1100">
              <a:solidFill>
                <a:schemeClr val="dk1"/>
              </a:solidFill>
              <a:effectLst/>
              <a:latin typeface="+mn-lt"/>
              <a:ea typeface="+mn-ea"/>
              <a:cs typeface="+mn-cs"/>
            </a:rPr>
            <a:t>Nq</a:t>
          </a:r>
          <a:r>
            <a:rPr lang="en-US" sz="1100" baseline="0">
              <a:solidFill>
                <a:schemeClr val="dk1"/>
              </a:solidFill>
              <a:effectLst/>
              <a:latin typeface="+mn-lt"/>
              <a:ea typeface="+mn-ea"/>
              <a:cs typeface="+mn-cs"/>
            </a:rPr>
            <a:t> = </a:t>
          </a:r>
          <a:r>
            <a:rPr lang="en-US" sz="1100">
              <a:solidFill>
                <a:schemeClr val="dk1"/>
              </a:solidFill>
              <a:effectLst/>
              <a:latin typeface="+mn-lt"/>
              <a:ea typeface="+mn-ea"/>
              <a:cs typeface="+mn-cs"/>
            </a:rPr>
            <a:t>After Berezantzev et. al. 1961 (graph)</a:t>
          </a:r>
          <a:endParaRPr lang="en-US">
            <a:effectLst/>
          </a:endParaRPr>
        </a:p>
        <a:p>
          <a:r>
            <a:rPr lang="el-GR" sz="1100">
              <a:solidFill>
                <a:schemeClr val="dk1"/>
              </a:solidFill>
              <a:effectLst/>
              <a:latin typeface="+mn-lt"/>
              <a:ea typeface="+mn-ea"/>
              <a:cs typeface="+mn-cs"/>
            </a:rPr>
            <a:t>σ'</a:t>
          </a:r>
          <a:r>
            <a:rPr lang="en-US" sz="1100">
              <a:solidFill>
                <a:schemeClr val="dk1"/>
              </a:solidFill>
              <a:effectLst/>
              <a:latin typeface="+mn-lt"/>
              <a:ea typeface="+mn-ea"/>
              <a:cs typeface="+mn-cs"/>
            </a:rPr>
            <a:t>v  = Effective stress (average along</a:t>
          </a:r>
          <a:r>
            <a:rPr lang="en-US" sz="1100" baseline="0">
              <a:solidFill>
                <a:schemeClr val="dk1"/>
              </a:solidFill>
              <a:effectLst/>
              <a:latin typeface="+mn-lt"/>
              <a:ea typeface="+mn-ea"/>
              <a:cs typeface="+mn-cs"/>
            </a:rPr>
            <a:t> the</a:t>
          </a:r>
          <a:r>
            <a:rPr lang="en-US" sz="1100">
              <a:solidFill>
                <a:schemeClr val="dk1"/>
              </a:solidFill>
              <a:effectLst/>
              <a:latin typeface="+mn-lt"/>
              <a:ea typeface="+mn-ea"/>
              <a:cs typeface="+mn-cs"/>
            </a:rPr>
            <a:t> shaft)</a:t>
          </a:r>
        </a:p>
        <a:p>
          <a:r>
            <a:rPr lang="en-US" sz="1100">
              <a:solidFill>
                <a:schemeClr val="dk1"/>
              </a:solidFill>
              <a:effectLst/>
              <a:latin typeface="+mn-lt"/>
              <a:ea typeface="+mn-ea"/>
              <a:cs typeface="+mn-cs"/>
            </a:rPr>
            <a:t>Ks = 1 for friction</a:t>
          </a:r>
          <a:r>
            <a:rPr lang="en-US" sz="1100" baseline="0">
              <a:solidFill>
                <a:schemeClr val="dk1"/>
              </a:solidFill>
              <a:effectLst/>
              <a:latin typeface="+mn-lt"/>
              <a:ea typeface="+mn-ea"/>
              <a:cs typeface="+mn-cs"/>
            </a:rPr>
            <a:t> angle &lt;34, 2 for &gt;34</a:t>
          </a:r>
        </a:p>
        <a:p>
          <a:r>
            <a:rPr lang="el-GR" sz="1100">
              <a:solidFill>
                <a:schemeClr val="dk1"/>
              </a:solidFill>
              <a:effectLst/>
              <a:latin typeface="+mn-lt"/>
              <a:ea typeface="+mn-ea"/>
              <a:cs typeface="+mn-cs"/>
            </a:rPr>
            <a:t>δ</a:t>
          </a:r>
          <a:r>
            <a:rPr lang="en-US" sz="1100">
              <a:solidFill>
                <a:schemeClr val="dk1"/>
              </a:solidFill>
              <a:effectLst/>
              <a:latin typeface="+mn-lt"/>
              <a:ea typeface="+mn-ea"/>
              <a:cs typeface="+mn-cs"/>
            </a:rPr>
            <a:t> = 0.75 * friction</a:t>
          </a:r>
          <a:r>
            <a:rPr lang="en-US" sz="1100" baseline="0">
              <a:solidFill>
                <a:schemeClr val="dk1"/>
              </a:solidFill>
              <a:effectLst/>
              <a:latin typeface="+mn-lt"/>
              <a:ea typeface="+mn-ea"/>
              <a:cs typeface="+mn-cs"/>
            </a:rPr>
            <a:t> angle</a:t>
          </a:r>
          <a:endParaRPr lang="en-US"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78952</xdr:colOff>
      <xdr:row>0</xdr:row>
      <xdr:rowOff>20027</xdr:rowOff>
    </xdr:from>
    <xdr:to>
      <xdr:col>2</xdr:col>
      <xdr:colOff>372648</xdr:colOff>
      <xdr:row>2</xdr:row>
      <xdr:rowOff>151471</xdr:rowOff>
    </xdr:to>
    <xdr:pic>
      <xdr:nvPicPr>
        <xdr:cNvPr id="2" name="Picture 1">
          <a:extLst>
            <a:ext uri="{FF2B5EF4-FFF2-40B4-BE49-F238E27FC236}">
              <a16:creationId xmlns:a16="http://schemas.microsoft.com/office/drawing/2014/main" id="{BC04C604-02C4-4EDE-B438-AAA4F257A681}"/>
            </a:ext>
          </a:extLst>
        </xdr:cNvPr>
        <xdr:cNvPicPr>
          <a:picLocks noChangeAspect="1"/>
        </xdr:cNvPicPr>
      </xdr:nvPicPr>
      <xdr:blipFill>
        <a:blip xmlns:r="http://schemas.openxmlformats.org/officeDocument/2006/relationships" r:embed="rId1"/>
        <a:stretch>
          <a:fillRect/>
        </a:stretch>
      </xdr:blipFill>
      <xdr:spPr>
        <a:xfrm>
          <a:off x="78952" y="20027"/>
          <a:ext cx="1495311" cy="5124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78952</xdr:colOff>
      <xdr:row>0</xdr:row>
      <xdr:rowOff>19050</xdr:rowOff>
    </xdr:from>
    <xdr:to>
      <xdr:col>2</xdr:col>
      <xdr:colOff>372648</xdr:colOff>
      <xdr:row>2</xdr:row>
      <xdr:rowOff>150494</xdr:rowOff>
    </xdr:to>
    <xdr:pic>
      <xdr:nvPicPr>
        <xdr:cNvPr id="2" name="Picture 1">
          <a:extLst>
            <a:ext uri="{FF2B5EF4-FFF2-40B4-BE49-F238E27FC236}">
              <a16:creationId xmlns:a16="http://schemas.microsoft.com/office/drawing/2014/main" id="{1C8B3F73-E0AE-418C-8365-EA5612FE5B3E}"/>
            </a:ext>
          </a:extLst>
        </xdr:cNvPr>
        <xdr:cNvPicPr>
          <a:picLocks noChangeAspect="1"/>
        </xdr:cNvPicPr>
      </xdr:nvPicPr>
      <xdr:blipFill>
        <a:blip xmlns:r="http://schemas.openxmlformats.org/officeDocument/2006/relationships" r:embed="rId1"/>
        <a:stretch>
          <a:fillRect/>
        </a:stretch>
      </xdr:blipFill>
      <xdr:spPr>
        <a:xfrm>
          <a:off x="78952" y="19050"/>
          <a:ext cx="1500196" cy="5124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0CD91-8851-40C0-8B27-B731C3905F17}">
  <dimension ref="A1:AC114"/>
  <sheetViews>
    <sheetView tabSelected="1" view="pageLayout" zoomScaleNormal="85" zoomScaleSheetLayoutView="100" workbookViewId="0">
      <selection activeCell="J20" sqref="J20"/>
    </sheetView>
  </sheetViews>
  <sheetFormatPr defaultColWidth="8.85546875" defaultRowHeight="12.75" x14ac:dyDescent="0.2"/>
  <cols>
    <col min="1" max="5" width="9" style="13" customWidth="1"/>
    <col min="6" max="6" width="9.28515625" style="13" customWidth="1"/>
    <col min="7" max="12" width="9" style="13" customWidth="1"/>
    <col min="13" max="13" width="10.140625" style="13" customWidth="1"/>
    <col min="14" max="18" width="8.85546875" style="13"/>
    <col min="19" max="29" width="10" style="13" customWidth="1"/>
    <col min="30" max="16384" width="8.85546875" style="13"/>
  </cols>
  <sheetData>
    <row r="1" spans="1:29" ht="15" customHeight="1" x14ac:dyDescent="0.2">
      <c r="A1" s="112"/>
      <c r="B1" s="112"/>
      <c r="C1" s="113"/>
      <c r="D1" s="114" t="s">
        <v>2</v>
      </c>
      <c r="E1" s="115"/>
      <c r="F1" s="115"/>
      <c r="G1" s="115"/>
      <c r="H1" s="115"/>
      <c r="I1" s="116"/>
      <c r="J1" s="114" t="s">
        <v>3</v>
      </c>
      <c r="K1" s="116"/>
      <c r="L1" s="45"/>
      <c r="P1" s="15"/>
      <c r="S1" s="60"/>
      <c r="T1" s="60"/>
    </row>
    <row r="2" spans="1:29" ht="15" customHeight="1" x14ac:dyDescent="0.2">
      <c r="A2" s="112"/>
      <c r="B2" s="112"/>
      <c r="C2" s="113"/>
      <c r="D2" s="16" t="s">
        <v>4</v>
      </c>
      <c r="E2" s="17"/>
      <c r="F2" s="17"/>
      <c r="G2" s="17"/>
      <c r="H2" s="17"/>
      <c r="I2" s="18"/>
      <c r="J2" s="16" t="s">
        <v>5</v>
      </c>
      <c r="K2" s="18"/>
      <c r="L2" s="46"/>
    </row>
    <row r="3" spans="1:29" ht="15" customHeight="1" x14ac:dyDescent="0.2">
      <c r="A3" s="112"/>
      <c r="B3" s="112"/>
      <c r="C3" s="113"/>
      <c r="D3" s="114" t="s">
        <v>6</v>
      </c>
      <c r="E3" s="115"/>
      <c r="F3" s="115"/>
      <c r="G3" s="115"/>
      <c r="H3" s="115"/>
      <c r="I3" s="116"/>
      <c r="J3" s="117" t="s">
        <v>7</v>
      </c>
      <c r="K3" s="118"/>
      <c r="L3" s="47"/>
      <c r="V3" s="103" t="s">
        <v>128</v>
      </c>
      <c r="W3" s="108"/>
      <c r="X3" s="108"/>
      <c r="Y3" s="108"/>
      <c r="Z3" s="109"/>
      <c r="AB3" s="59"/>
      <c r="AC3" s="7"/>
    </row>
    <row r="4" spans="1:29" ht="15" customHeight="1" x14ac:dyDescent="0.2">
      <c r="A4" s="119" t="s">
        <v>8</v>
      </c>
      <c r="B4" s="120"/>
      <c r="C4" s="121"/>
      <c r="D4" s="16" t="s">
        <v>9</v>
      </c>
      <c r="E4" s="17"/>
      <c r="F4" s="17"/>
      <c r="G4" s="17"/>
      <c r="H4" s="17"/>
      <c r="I4" s="18"/>
      <c r="J4" s="16"/>
      <c r="K4" s="18"/>
      <c r="L4" s="46"/>
      <c r="V4" s="43" t="s">
        <v>33</v>
      </c>
      <c r="W4" s="103" t="s">
        <v>56</v>
      </c>
      <c r="X4" s="104"/>
      <c r="Y4" s="103" t="s">
        <v>57</v>
      </c>
      <c r="Z4" s="104"/>
      <c r="AB4" s="59"/>
      <c r="AC4" s="60"/>
    </row>
    <row r="5" spans="1:29" ht="15" customHeight="1" x14ac:dyDescent="0.2">
      <c r="A5" s="120"/>
      <c r="B5" s="120"/>
      <c r="C5" s="121"/>
      <c r="D5" s="114" t="s">
        <v>10</v>
      </c>
      <c r="E5" s="116"/>
      <c r="F5" s="114" t="s">
        <v>11</v>
      </c>
      <c r="G5" s="116"/>
      <c r="H5" s="1" t="s">
        <v>12</v>
      </c>
      <c r="I5" s="117" t="s">
        <v>13</v>
      </c>
      <c r="J5" s="118"/>
      <c r="K5" s="2" t="s">
        <v>12</v>
      </c>
      <c r="L5" s="48"/>
      <c r="V5" s="43" t="s">
        <v>34</v>
      </c>
      <c r="W5" s="53" t="s">
        <v>40</v>
      </c>
      <c r="X5" s="53" t="s">
        <v>106</v>
      </c>
      <c r="Y5" s="53" t="s">
        <v>40</v>
      </c>
      <c r="Z5" s="53" t="s">
        <v>106</v>
      </c>
      <c r="AA5" s="59"/>
    </row>
    <row r="6" spans="1:29" ht="15" customHeight="1" x14ac:dyDescent="0.2">
      <c r="A6" s="120"/>
      <c r="B6" s="120"/>
      <c r="C6" s="121"/>
      <c r="D6" s="19" t="s">
        <v>14</v>
      </c>
      <c r="E6" s="18"/>
      <c r="F6" s="19" t="s">
        <v>15</v>
      </c>
      <c r="G6" s="18"/>
      <c r="H6" s="20">
        <f ca="1">TODAY()</f>
        <v>45964</v>
      </c>
      <c r="I6" s="19" t="s">
        <v>16</v>
      </c>
      <c r="J6" s="18"/>
      <c r="K6" s="20">
        <f ca="1">TODAY()</f>
        <v>45964</v>
      </c>
      <c r="L6" s="49"/>
      <c r="V6" s="44" t="s">
        <v>110</v>
      </c>
      <c r="W6" s="61">
        <v>1</v>
      </c>
      <c r="X6" s="61">
        <v>1.25</v>
      </c>
      <c r="Y6" s="61">
        <v>1.3</v>
      </c>
      <c r="Z6" s="61">
        <v>1.6</v>
      </c>
    </row>
    <row r="7" spans="1:29" ht="12.75" customHeight="1" x14ac:dyDescent="0.2">
      <c r="A7" s="21" t="s">
        <v>17</v>
      </c>
      <c r="B7" s="110" t="s">
        <v>18</v>
      </c>
      <c r="C7" s="110"/>
      <c r="D7" s="111"/>
      <c r="E7" s="111"/>
      <c r="F7" s="111"/>
      <c r="G7" s="111"/>
      <c r="H7" s="111"/>
      <c r="I7" s="111"/>
      <c r="J7" s="111"/>
      <c r="K7" s="22" t="s">
        <v>19</v>
      </c>
      <c r="L7" s="50"/>
      <c r="V7" s="44" t="s">
        <v>109</v>
      </c>
      <c r="W7" s="61">
        <v>1</v>
      </c>
      <c r="X7" s="61">
        <v>1</v>
      </c>
      <c r="Y7" s="61">
        <v>1.3</v>
      </c>
      <c r="Z7" s="61">
        <v>1.3</v>
      </c>
      <c r="AC7" s="60"/>
    </row>
    <row r="8" spans="1:29" ht="12.95" customHeight="1" x14ac:dyDescent="0.2">
      <c r="A8" s="9"/>
      <c r="B8" s="9"/>
      <c r="C8" s="9"/>
      <c r="D8" s="9"/>
      <c r="E8" s="9"/>
      <c r="F8" s="9"/>
      <c r="G8" s="9"/>
      <c r="H8" s="9"/>
      <c r="I8" s="9"/>
      <c r="J8" s="9"/>
      <c r="K8" s="9"/>
      <c r="L8" s="9"/>
      <c r="V8" s="44" t="s">
        <v>108</v>
      </c>
      <c r="W8" s="61">
        <v>1</v>
      </c>
      <c r="X8" s="61">
        <v>1.1499999999999999</v>
      </c>
      <c r="Y8" s="61">
        <v>1.3</v>
      </c>
      <c r="Z8" s="61">
        <v>1.5</v>
      </c>
    </row>
    <row r="9" spans="1:29" ht="12.95" customHeight="1" x14ac:dyDescent="0.2">
      <c r="A9" s="9"/>
      <c r="C9" s="37" t="s">
        <v>55</v>
      </c>
      <c r="E9" s="8"/>
      <c r="F9" s="8"/>
      <c r="G9" s="8"/>
      <c r="H9" s="8"/>
      <c r="I9" s="9"/>
      <c r="J9" s="9"/>
      <c r="K9" s="9"/>
      <c r="L9" s="9"/>
      <c r="X9" s="7"/>
    </row>
    <row r="10" spans="1:29" ht="12.95" customHeight="1" x14ac:dyDescent="0.2">
      <c r="A10" s="9"/>
      <c r="B10" s="102" t="s">
        <v>130</v>
      </c>
      <c r="C10" s="102"/>
      <c r="D10" s="102"/>
      <c r="E10" s="102"/>
      <c r="F10" s="102"/>
      <c r="G10" s="102"/>
      <c r="H10" s="102"/>
      <c r="I10" s="102"/>
      <c r="J10" s="102"/>
      <c r="K10" s="9"/>
      <c r="L10" s="9"/>
      <c r="S10" s="105" t="s">
        <v>129</v>
      </c>
      <c r="T10" s="106"/>
      <c r="U10" s="106"/>
      <c r="V10" s="106"/>
      <c r="W10" s="106"/>
      <c r="X10" s="106"/>
      <c r="Y10" s="106"/>
      <c r="Z10" s="106"/>
      <c r="AA10" s="106"/>
      <c r="AB10" s="106"/>
      <c r="AC10" s="107"/>
    </row>
    <row r="11" spans="1:29" ht="12.95" customHeight="1" x14ac:dyDescent="0.2">
      <c r="A11" s="9"/>
      <c r="B11" s="102"/>
      <c r="C11" s="102"/>
      <c r="D11" s="102"/>
      <c r="E11" s="102"/>
      <c r="F11" s="102"/>
      <c r="G11" s="102"/>
      <c r="H11" s="102"/>
      <c r="I11" s="102"/>
      <c r="J11" s="102"/>
      <c r="K11" s="9"/>
      <c r="L11" s="9"/>
      <c r="S11" s="44" t="s">
        <v>35</v>
      </c>
      <c r="T11" s="43">
        <v>1</v>
      </c>
      <c r="U11" s="43">
        <v>2</v>
      </c>
      <c r="V11" s="43">
        <v>3</v>
      </c>
      <c r="W11" s="43">
        <v>4</v>
      </c>
      <c r="X11" s="43">
        <v>5</v>
      </c>
      <c r="Y11" s="43">
        <v>6</v>
      </c>
      <c r="Z11" s="43">
        <v>7</v>
      </c>
      <c r="AA11" s="43">
        <v>8</v>
      </c>
      <c r="AB11" s="43">
        <v>9</v>
      </c>
      <c r="AC11" s="43">
        <v>10</v>
      </c>
    </row>
    <row r="12" spans="1:29" ht="12.95" customHeight="1" x14ac:dyDescent="0.2">
      <c r="A12" s="9"/>
      <c r="B12" s="102"/>
      <c r="C12" s="102"/>
      <c r="D12" s="102"/>
      <c r="E12" s="102"/>
      <c r="F12" s="102"/>
      <c r="G12" s="102"/>
      <c r="H12" s="102"/>
      <c r="I12" s="102"/>
      <c r="J12" s="102"/>
      <c r="K12" s="9"/>
      <c r="L12" s="9"/>
      <c r="S12" s="51" t="s">
        <v>104</v>
      </c>
      <c r="T12" s="62">
        <v>1.4</v>
      </c>
      <c r="U12" s="62">
        <v>1.35</v>
      </c>
      <c r="V12" s="62">
        <v>1.33</v>
      </c>
      <c r="W12" s="62">
        <v>1.31</v>
      </c>
      <c r="X12" s="62">
        <v>1.29</v>
      </c>
      <c r="Y12" s="62">
        <f>-0.01*Y11+1.34</f>
        <v>1.28</v>
      </c>
      <c r="Z12" s="62">
        <v>1.27</v>
      </c>
      <c r="AA12" s="62">
        <v>1.26</v>
      </c>
      <c r="AB12" s="62">
        <v>1.26</v>
      </c>
      <c r="AC12" s="62">
        <v>1.25</v>
      </c>
    </row>
    <row r="13" spans="1:29" ht="12.95" customHeight="1" x14ac:dyDescent="0.2">
      <c r="A13" s="23"/>
      <c r="B13" s="102"/>
      <c r="C13" s="102"/>
      <c r="D13" s="102"/>
      <c r="E13" s="102"/>
      <c r="F13" s="102"/>
      <c r="G13" s="102"/>
      <c r="H13" s="102"/>
      <c r="I13" s="102"/>
      <c r="J13" s="102"/>
      <c r="K13" s="9"/>
      <c r="L13" s="9"/>
      <c r="S13" s="51" t="s">
        <v>105</v>
      </c>
      <c r="T13" s="62">
        <v>1.4</v>
      </c>
      <c r="U13" s="62">
        <v>1.27</v>
      </c>
      <c r="V13" s="62">
        <v>1.23</v>
      </c>
      <c r="W13" s="62">
        <v>1.2</v>
      </c>
      <c r="X13" s="62">
        <v>1.1499999999999999</v>
      </c>
      <c r="Y13" s="62">
        <v>1.135</v>
      </c>
      <c r="Z13" s="62">
        <v>1.1200000000000001</v>
      </c>
      <c r="AA13" s="62">
        <v>1.1069</v>
      </c>
      <c r="AB13" s="62">
        <v>1.0936000000000001</v>
      </c>
      <c r="AC13" s="62">
        <v>1.08</v>
      </c>
    </row>
    <row r="14" spans="1:29" ht="12.95" customHeight="1" x14ac:dyDescent="0.2">
      <c r="A14" s="23"/>
      <c r="B14" s="102"/>
      <c r="C14" s="102"/>
      <c r="D14" s="102"/>
      <c r="E14" s="102"/>
      <c r="F14" s="102"/>
      <c r="G14" s="102"/>
      <c r="H14" s="102"/>
      <c r="I14" s="102"/>
      <c r="J14" s="102"/>
      <c r="K14" s="9"/>
      <c r="L14" s="9"/>
    </row>
    <row r="15" spans="1:29" ht="12.95" customHeight="1" x14ac:dyDescent="0.2">
      <c r="A15" s="23"/>
      <c r="B15" s="102"/>
      <c r="C15" s="102"/>
      <c r="D15" s="102"/>
      <c r="E15" s="102"/>
      <c r="F15" s="102"/>
      <c r="G15" s="102"/>
      <c r="H15" s="102"/>
      <c r="I15" s="102"/>
      <c r="J15" s="102"/>
      <c r="K15" s="9"/>
      <c r="L15" s="9"/>
    </row>
    <row r="16" spans="1:29" ht="12.95" customHeight="1" x14ac:dyDescent="0.2">
      <c r="A16" s="23"/>
      <c r="B16" s="54"/>
      <c r="C16" s="54"/>
      <c r="D16" s="54"/>
      <c r="E16" s="54"/>
      <c r="F16" s="54"/>
      <c r="G16" s="54"/>
      <c r="H16" s="54"/>
      <c r="I16" s="54"/>
      <c r="J16" s="54"/>
      <c r="K16" s="9"/>
      <c r="L16" s="9"/>
    </row>
    <row r="17" spans="1:25" ht="12.95" customHeight="1" x14ac:dyDescent="0.2">
      <c r="A17" s="24"/>
      <c r="C17" s="64" t="s">
        <v>112</v>
      </c>
      <c r="D17" s="9"/>
      <c r="E17" s="9"/>
      <c r="F17" s="9"/>
      <c r="G17" s="9"/>
      <c r="H17" s="38"/>
      <c r="I17" s="38"/>
      <c r="J17" s="38"/>
      <c r="K17" s="38"/>
      <c r="L17" s="9"/>
    </row>
    <row r="18" spans="1:25" ht="12.95" customHeight="1" x14ac:dyDescent="0.2">
      <c r="A18" s="9"/>
      <c r="B18" s="9"/>
      <c r="C18" s="9"/>
      <c r="D18" s="9"/>
      <c r="E18" s="9"/>
      <c r="F18" s="9"/>
      <c r="G18" s="9"/>
      <c r="H18" s="38"/>
      <c r="I18" s="38"/>
      <c r="J18" s="38"/>
      <c r="K18" s="38"/>
      <c r="L18" s="38"/>
    </row>
    <row r="19" spans="1:25" ht="12.95" customHeight="1" x14ac:dyDescent="0.2">
      <c r="A19" s="9"/>
      <c r="B19" s="9"/>
      <c r="C19" s="9"/>
      <c r="D19" s="10" t="s">
        <v>102</v>
      </c>
      <c r="E19" s="9"/>
      <c r="F19" s="9"/>
      <c r="G19" s="9"/>
      <c r="H19" s="38"/>
      <c r="I19" s="38"/>
      <c r="J19" s="38"/>
      <c r="K19" s="38"/>
      <c r="L19" s="38"/>
    </row>
    <row r="20" spans="1:25" ht="12.95" customHeight="1" x14ac:dyDescent="0.2">
      <c r="A20" s="9"/>
      <c r="B20" s="9"/>
      <c r="C20" s="9"/>
      <c r="E20" s="3" t="s">
        <v>39</v>
      </c>
      <c r="F20" s="52" t="s">
        <v>40</v>
      </c>
      <c r="G20" s="9"/>
      <c r="H20" s="38"/>
      <c r="I20" s="38"/>
      <c r="J20" s="39"/>
      <c r="K20" s="38"/>
      <c r="L20" s="38"/>
    </row>
    <row r="21" spans="1:25" ht="12.95" customHeight="1" x14ac:dyDescent="0.2">
      <c r="A21" s="9"/>
      <c r="B21" s="9"/>
      <c r="C21" s="9"/>
      <c r="D21" s="3"/>
      <c r="E21" s="3" t="s">
        <v>101</v>
      </c>
      <c r="F21" s="52" t="s">
        <v>123</v>
      </c>
      <c r="G21" s="92" t="s">
        <v>127</v>
      </c>
      <c r="H21" s="38"/>
      <c r="I21" s="38"/>
      <c r="J21" s="39"/>
      <c r="K21" s="38"/>
      <c r="L21" s="38"/>
    </row>
    <row r="22" spans="1:25" ht="12.95" customHeight="1" x14ac:dyDescent="0.2">
      <c r="A22" s="9"/>
      <c r="B22" s="9"/>
      <c r="C22" s="9"/>
      <c r="D22" s="3" t="s">
        <v>37</v>
      </c>
      <c r="E22" s="3" t="s">
        <v>1</v>
      </c>
      <c r="F22" s="11">
        <v>10</v>
      </c>
      <c r="G22" s="9" t="s">
        <v>0</v>
      </c>
      <c r="H22" s="38"/>
      <c r="I22" s="38"/>
      <c r="J22" s="38"/>
      <c r="K22" s="38"/>
      <c r="L22" s="38"/>
      <c r="M22" s="26"/>
      <c r="X22" s="69"/>
      <c r="Y22" s="69"/>
    </row>
    <row r="23" spans="1:25" ht="12.95" customHeight="1" x14ac:dyDescent="0.2">
      <c r="A23" s="9"/>
      <c r="B23" s="9"/>
      <c r="C23" s="9"/>
      <c r="D23" s="3" t="s">
        <v>38</v>
      </c>
      <c r="E23" s="3" t="s">
        <v>36</v>
      </c>
      <c r="F23" s="11">
        <v>0.7</v>
      </c>
      <c r="G23" s="9" t="s">
        <v>0</v>
      </c>
      <c r="H23" s="38"/>
      <c r="I23" s="38"/>
      <c r="J23" s="38"/>
      <c r="K23" s="38"/>
      <c r="L23" s="38"/>
      <c r="M23" s="27"/>
      <c r="X23" s="69"/>
      <c r="Y23" s="69"/>
    </row>
    <row r="24" spans="1:25" ht="12.95" customHeight="1" x14ac:dyDescent="0.2">
      <c r="A24" s="9"/>
      <c r="B24" s="9"/>
      <c r="C24" s="9"/>
      <c r="D24" s="3" t="s">
        <v>121</v>
      </c>
      <c r="E24" s="65" t="s">
        <v>114</v>
      </c>
      <c r="F24" s="11">
        <v>0</v>
      </c>
      <c r="G24" s="9" t="s">
        <v>115</v>
      </c>
      <c r="H24" s="38"/>
      <c r="I24" s="38"/>
      <c r="J24" s="38"/>
      <c r="K24" s="38"/>
      <c r="L24" s="38"/>
      <c r="M24" s="27"/>
      <c r="X24" s="69"/>
      <c r="Y24" s="69"/>
    </row>
    <row r="25" spans="1:25" ht="12.95" customHeight="1" x14ac:dyDescent="0.2">
      <c r="A25" s="9"/>
      <c r="B25" s="9"/>
      <c r="C25" s="9"/>
      <c r="D25" s="3"/>
      <c r="E25" s="3"/>
      <c r="F25" s="12"/>
      <c r="G25" s="9"/>
      <c r="H25" s="38"/>
      <c r="I25" s="38"/>
      <c r="J25" s="38"/>
      <c r="K25" s="38"/>
      <c r="L25" s="38"/>
      <c r="M25" s="27"/>
      <c r="X25" s="69"/>
      <c r="Y25" s="69"/>
    </row>
    <row r="26" spans="1:25" ht="12.95" customHeight="1" x14ac:dyDescent="0.2">
      <c r="A26" s="9"/>
      <c r="B26" s="9"/>
      <c r="C26" s="9"/>
      <c r="D26" s="10" t="s">
        <v>113</v>
      </c>
      <c r="E26" s="3"/>
      <c r="F26" s="12"/>
      <c r="G26" s="9"/>
      <c r="H26" s="38"/>
      <c r="I26" s="38"/>
      <c r="J26" s="38"/>
      <c r="K26" s="38"/>
      <c r="L26" s="38"/>
      <c r="M26" s="27"/>
      <c r="X26" s="69"/>
      <c r="Y26" s="69"/>
    </row>
    <row r="27" spans="1:25" ht="12.95" customHeight="1" x14ac:dyDescent="0.2">
      <c r="A27" s="9"/>
      <c r="B27" s="9"/>
      <c r="C27" s="9"/>
      <c r="D27" s="3" t="s">
        <v>41</v>
      </c>
      <c r="E27" s="3" t="s">
        <v>43</v>
      </c>
      <c r="F27" s="6">
        <v>500</v>
      </c>
      <c r="G27" s="9" t="s">
        <v>122</v>
      </c>
      <c r="H27" s="38"/>
      <c r="I27" s="38"/>
      <c r="J27" s="38"/>
      <c r="K27" s="38"/>
      <c r="L27" s="38"/>
      <c r="M27" s="27"/>
      <c r="X27" s="69"/>
      <c r="Y27" s="69"/>
    </row>
    <row r="28" spans="1:25" ht="12.95" customHeight="1" x14ac:dyDescent="0.2">
      <c r="A28" s="9"/>
      <c r="B28" s="9"/>
      <c r="C28" s="9"/>
      <c r="D28" s="3" t="s">
        <v>42</v>
      </c>
      <c r="E28" s="3" t="s">
        <v>44</v>
      </c>
      <c r="F28" s="40">
        <v>150</v>
      </c>
      <c r="G28" s="9" t="s">
        <v>25</v>
      </c>
      <c r="H28" s="38"/>
      <c r="I28" s="38"/>
      <c r="J28" s="38"/>
      <c r="K28" s="38"/>
      <c r="L28" s="38"/>
      <c r="M28" s="27"/>
      <c r="X28" s="69"/>
      <c r="Y28" s="69"/>
    </row>
    <row r="29" spans="1:25" ht="12.95" customHeight="1" x14ac:dyDescent="0.2">
      <c r="A29" s="9"/>
      <c r="B29" s="9"/>
      <c r="C29" s="9"/>
      <c r="D29" s="3"/>
      <c r="E29" s="3"/>
      <c r="F29"/>
      <c r="G29" s="9"/>
      <c r="H29" s="38"/>
      <c r="I29" s="38"/>
      <c r="J29" s="38"/>
      <c r="K29" s="38"/>
      <c r="L29" s="38"/>
      <c r="M29" s="27"/>
      <c r="X29" s="69"/>
      <c r="Y29" s="69"/>
    </row>
    <row r="30" spans="1:25" ht="12.95" customHeight="1" x14ac:dyDescent="0.2">
      <c r="A30" s="9"/>
      <c r="B30" s="9"/>
      <c r="C30" s="9"/>
      <c r="D30" s="10" t="s">
        <v>125</v>
      </c>
      <c r="E30" s="35"/>
      <c r="F30"/>
      <c r="G30" s="9"/>
      <c r="I30" s="9"/>
      <c r="J30" s="38"/>
      <c r="K30" s="38"/>
      <c r="L30" s="38"/>
      <c r="M30" s="27"/>
      <c r="X30" s="69"/>
      <c r="Y30" s="69"/>
    </row>
    <row r="31" spans="1:25" ht="12.95" customHeight="1" x14ac:dyDescent="0.2">
      <c r="A31" s="9"/>
      <c r="B31" s="42" t="str">
        <f>IF(Condition="Drained","Mean effective angle of shearing resistance, φu (°) ","Mean undrained strength, Cu (kPa)")</f>
        <v>Mean undrained strength, Cu (kPa)</v>
      </c>
      <c r="F31"/>
      <c r="G31" s="94" t="str">
        <f>IF(Condition="Drained","Mean weight density of soil, γsoil (KN/m3)","")</f>
        <v/>
      </c>
      <c r="H31" s="95"/>
      <c r="J31" s="38"/>
      <c r="K31" s="38"/>
      <c r="L31" s="38"/>
      <c r="M31" s="27"/>
      <c r="X31" s="69"/>
      <c r="Y31" s="69"/>
    </row>
    <row r="32" spans="1:25" ht="12.95" customHeight="1" x14ac:dyDescent="0.2">
      <c r="A32" s="9"/>
      <c r="B32" s="9"/>
      <c r="C32" s="7" t="s">
        <v>119</v>
      </c>
      <c r="D32" s="63" t="s">
        <v>131</v>
      </c>
      <c r="E32" s="63" t="s">
        <v>132</v>
      </c>
      <c r="G32" s="96" t="str">
        <f>IF(Condition="Drained","Shaft","")</f>
        <v/>
      </c>
      <c r="H32" s="97" t="str">
        <f>IF(Condition="Drained","Base","")</f>
        <v/>
      </c>
      <c r="I32" s="38"/>
      <c r="J32" s="38"/>
      <c r="K32" s="27"/>
      <c r="V32" s="69"/>
      <c r="W32" s="69"/>
    </row>
    <row r="33" spans="1:23" ht="12.95" customHeight="1" x14ac:dyDescent="0.2">
      <c r="A33" s="9"/>
      <c r="B33" s="9"/>
      <c r="C33" s="3" t="s">
        <v>45</v>
      </c>
      <c r="D33" s="40">
        <v>65</v>
      </c>
      <c r="E33" s="40">
        <v>90</v>
      </c>
      <c r="G33" s="98"/>
      <c r="H33" s="99"/>
      <c r="I33" s="38"/>
      <c r="J33" s="38"/>
      <c r="K33" s="27"/>
      <c r="V33" s="69"/>
      <c r="W33" s="69"/>
    </row>
    <row r="34" spans="1:23" ht="12.95" customHeight="1" x14ac:dyDescent="0.2">
      <c r="A34" s="9"/>
      <c r="B34" s="9"/>
      <c r="C34" s="3" t="s">
        <v>46</v>
      </c>
      <c r="D34" s="6">
        <v>62</v>
      </c>
      <c r="E34" s="6">
        <v>79</v>
      </c>
      <c r="G34" s="98"/>
      <c r="H34" s="99"/>
      <c r="I34" s="38"/>
      <c r="J34" s="38"/>
      <c r="K34" s="27"/>
      <c r="V34" s="69"/>
      <c r="W34" s="69"/>
    </row>
    <row r="35" spans="1:23" ht="12.95" customHeight="1" x14ac:dyDescent="0.2">
      <c r="A35" s="9"/>
      <c r="B35" s="9"/>
      <c r="C35" s="3" t="s">
        <v>47</v>
      </c>
      <c r="D35" s="6">
        <v>70</v>
      </c>
      <c r="E35" s="6">
        <v>96</v>
      </c>
      <c r="G35" s="98"/>
      <c r="H35" s="99"/>
      <c r="I35" s="38"/>
      <c r="J35" s="38"/>
      <c r="K35" s="27"/>
      <c r="V35" s="69"/>
      <c r="W35" s="69"/>
    </row>
    <row r="36" spans="1:23" ht="12.95" customHeight="1" x14ac:dyDescent="0.2">
      <c r="A36" s="9"/>
      <c r="B36" s="9"/>
      <c r="C36" s="3" t="s">
        <v>48</v>
      </c>
      <c r="D36" s="6">
        <v>73</v>
      </c>
      <c r="E36" s="6">
        <v>100</v>
      </c>
      <c r="G36" s="98"/>
      <c r="H36" s="99"/>
      <c r="I36" s="38"/>
      <c r="J36" s="38"/>
      <c r="K36" s="27"/>
      <c r="V36" s="69"/>
      <c r="W36" s="69"/>
    </row>
    <row r="37" spans="1:23" ht="12.95" customHeight="1" x14ac:dyDescent="0.2">
      <c r="A37" s="9"/>
      <c r="B37" s="9"/>
      <c r="C37" s="3" t="s">
        <v>49</v>
      </c>
      <c r="D37" s="6"/>
      <c r="E37" s="6"/>
      <c r="G37" s="98"/>
      <c r="H37" s="99"/>
      <c r="I37" s="38"/>
      <c r="J37" s="38"/>
      <c r="K37" s="27"/>
      <c r="V37" s="69"/>
      <c r="W37" s="69"/>
    </row>
    <row r="38" spans="1:23" ht="12.95" customHeight="1" x14ac:dyDescent="0.2">
      <c r="A38" s="9"/>
      <c r="B38" s="9"/>
      <c r="C38" s="3" t="s">
        <v>50</v>
      </c>
      <c r="D38" s="6"/>
      <c r="E38" s="6"/>
      <c r="G38" s="98"/>
      <c r="H38" s="99"/>
      <c r="I38" s="38"/>
      <c r="J38" s="38"/>
      <c r="K38" s="27"/>
      <c r="V38" s="69"/>
      <c r="W38" s="69"/>
    </row>
    <row r="39" spans="1:23" ht="12.95" customHeight="1" x14ac:dyDescent="0.2">
      <c r="A39" s="9"/>
      <c r="B39" s="9"/>
      <c r="C39" s="3" t="s">
        <v>51</v>
      </c>
      <c r="D39" s="6"/>
      <c r="E39" s="6"/>
      <c r="G39" s="98"/>
      <c r="H39" s="99"/>
      <c r="I39" s="38"/>
      <c r="J39" s="38"/>
      <c r="K39" s="27"/>
      <c r="V39" s="69"/>
      <c r="W39" s="69"/>
    </row>
    <row r="40" spans="1:23" ht="12.95" customHeight="1" x14ac:dyDescent="0.2">
      <c r="A40" s="9"/>
      <c r="B40" s="9"/>
      <c r="C40" s="3" t="s">
        <v>52</v>
      </c>
      <c r="D40" s="6"/>
      <c r="E40" s="6"/>
      <c r="G40" s="98"/>
      <c r="H40" s="99"/>
      <c r="I40" s="9"/>
      <c r="J40" s="38"/>
      <c r="K40" s="27"/>
      <c r="V40" s="69"/>
      <c r="W40" s="69"/>
    </row>
    <row r="41" spans="1:23" ht="12.95" customHeight="1" x14ac:dyDescent="0.2">
      <c r="A41" s="9"/>
      <c r="B41" s="9"/>
      <c r="C41" s="3" t="s">
        <v>53</v>
      </c>
      <c r="D41" s="6"/>
      <c r="E41" s="6"/>
      <c r="G41" s="98"/>
      <c r="H41" s="99"/>
      <c r="I41" s="9"/>
      <c r="J41" s="9"/>
      <c r="K41" s="27"/>
      <c r="U41"/>
      <c r="V41"/>
    </row>
    <row r="42" spans="1:23" ht="12.95" customHeight="1" x14ac:dyDescent="0.2">
      <c r="A42" s="9"/>
      <c r="B42" s="9"/>
      <c r="C42" s="3" t="s">
        <v>54</v>
      </c>
      <c r="D42" s="6"/>
      <c r="E42" s="6"/>
      <c r="G42" s="100"/>
      <c r="H42" s="101"/>
      <c r="I42" s="9"/>
      <c r="J42" s="9"/>
      <c r="K42" s="27"/>
    </row>
    <row r="43" spans="1:23" ht="12.95" customHeight="1" x14ac:dyDescent="0.2">
      <c r="A43" s="9"/>
      <c r="B43" s="9"/>
      <c r="C43" s="9"/>
      <c r="D43" s="3"/>
      <c r="E43" s="3"/>
      <c r="F43"/>
      <c r="G43" s="9"/>
      <c r="H43" s="5"/>
      <c r="I43" s="9"/>
      <c r="J43" s="9"/>
      <c r="K43" s="9"/>
      <c r="L43" s="9"/>
      <c r="M43" s="27"/>
    </row>
    <row r="44" spans="1:23" ht="12.95" customHeight="1" x14ac:dyDescent="0.2">
      <c r="A44" s="9"/>
      <c r="B44" s="9"/>
      <c r="C44" s="9"/>
      <c r="D44" s="8" t="s">
        <v>126</v>
      </c>
      <c r="E44" s="3"/>
      <c r="F44"/>
      <c r="G44" s="9"/>
      <c r="H44" s="9"/>
      <c r="I44" s="9"/>
      <c r="J44" s="9"/>
      <c r="K44" s="9"/>
      <c r="L44" s="9"/>
      <c r="M44" s="28"/>
    </row>
    <row r="45" spans="1:23" ht="12.95" customHeight="1" x14ac:dyDescent="0.2">
      <c r="A45" s="9"/>
      <c r="B45" s="9"/>
      <c r="D45" s="13" t="s">
        <v>27</v>
      </c>
      <c r="G45" s="9"/>
      <c r="H45" s="9"/>
      <c r="I45" s="9"/>
      <c r="J45" s="9"/>
      <c r="K45" s="9"/>
      <c r="L45" s="28"/>
    </row>
    <row r="46" spans="1:23" ht="12.95" customHeight="1" x14ac:dyDescent="0.2">
      <c r="A46" s="9"/>
      <c r="B46" s="9"/>
      <c r="D46" s="3" t="s">
        <v>94</v>
      </c>
      <c r="E46" s="3" t="s">
        <v>98</v>
      </c>
      <c r="F46" s="93">
        <f>'EC7 (DA1-1)'!Rd</f>
        <v>1023.3672619221801</v>
      </c>
      <c r="G46" s="9" t="s">
        <v>25</v>
      </c>
      <c r="H46" s="9"/>
      <c r="I46" s="9"/>
      <c r="J46" s="9"/>
      <c r="K46" s="9"/>
      <c r="L46" s="28"/>
    </row>
    <row r="47" spans="1:23" ht="12.95" customHeight="1" x14ac:dyDescent="0.2">
      <c r="A47" s="9"/>
      <c r="B47" s="9"/>
      <c r="D47" s="3" t="s">
        <v>96</v>
      </c>
      <c r="E47" s="3" t="s">
        <v>97</v>
      </c>
      <c r="F47" s="93">
        <f>'EC7 (DA1-1)'!F87</f>
        <v>900</v>
      </c>
      <c r="G47" s="9" t="s">
        <v>25</v>
      </c>
      <c r="H47" s="9"/>
      <c r="I47" s="9"/>
      <c r="J47" s="9"/>
      <c r="K47" s="9"/>
      <c r="L47" s="28"/>
    </row>
    <row r="48" spans="1:23" ht="12.95" customHeight="1" x14ac:dyDescent="0.2">
      <c r="A48" s="9"/>
      <c r="B48" s="9"/>
      <c r="D48" s="3" t="s">
        <v>32</v>
      </c>
      <c r="E48" s="35" t="s">
        <v>28</v>
      </c>
      <c r="F48" s="57">
        <f>'EC7 (DA1-1)'!F88</f>
        <v>1.1370747354690889</v>
      </c>
      <c r="G48" s="9"/>
      <c r="H48" s="9"/>
      <c r="I48" s="9"/>
      <c r="J48" s="9"/>
      <c r="K48" s="9"/>
      <c r="L48" s="28"/>
    </row>
    <row r="49" spans="1:13" ht="12.95" customHeight="1" x14ac:dyDescent="0.2">
      <c r="A49" s="9"/>
      <c r="B49" s="9"/>
      <c r="C49" s="3"/>
      <c r="D49" s="3" t="s">
        <v>29</v>
      </c>
      <c r="E49" s="35" t="s">
        <v>30</v>
      </c>
      <c r="F49" s="58">
        <f>'EC7 (DA1-1)'!F89</f>
        <v>0.87944966923168844</v>
      </c>
      <c r="G49" s="9"/>
      <c r="H49" s="9"/>
      <c r="I49" s="9"/>
      <c r="J49" s="9"/>
      <c r="K49" s="9"/>
      <c r="L49" s="28"/>
    </row>
    <row r="50" spans="1:13" ht="12.95" customHeight="1" x14ac:dyDescent="0.2">
      <c r="A50" s="9"/>
      <c r="B50" s="9"/>
      <c r="D50" s="3"/>
      <c r="E50" s="9" t="str">
        <f>'EC7 (DA1-1)'!E90</f>
        <v>Safe: Adequate capacity.</v>
      </c>
      <c r="F50" s="9"/>
      <c r="G50" s="9"/>
      <c r="H50" s="9"/>
      <c r="I50" s="9"/>
      <c r="J50" s="25"/>
      <c r="K50" s="9"/>
      <c r="L50" s="28"/>
    </row>
    <row r="51" spans="1:13" ht="12.95" customHeight="1" x14ac:dyDescent="0.2">
      <c r="A51" s="9"/>
      <c r="B51" s="9"/>
      <c r="D51" s="3"/>
      <c r="E51" s="9"/>
      <c r="F51" s="9"/>
      <c r="G51" s="9"/>
      <c r="H51" s="9"/>
      <c r="I51" s="9"/>
      <c r="J51" s="25"/>
      <c r="K51" s="9"/>
      <c r="L51" s="28"/>
    </row>
    <row r="52" spans="1:13" ht="12.95" customHeight="1" x14ac:dyDescent="0.2">
      <c r="A52" s="9"/>
      <c r="D52" s="9" t="s">
        <v>103</v>
      </c>
      <c r="G52" s="9"/>
      <c r="H52" s="9"/>
      <c r="I52" s="9"/>
      <c r="J52" s="9"/>
      <c r="K52" s="25"/>
      <c r="L52" s="26"/>
      <c r="M52" s="28"/>
    </row>
    <row r="53" spans="1:13" ht="12.95" customHeight="1" x14ac:dyDescent="0.2">
      <c r="A53" s="9"/>
      <c r="D53" s="3" t="s">
        <v>94</v>
      </c>
      <c r="E53" s="3" t="s">
        <v>98</v>
      </c>
      <c r="F53" s="93">
        <f>'EC7 (DA1-2)'!Rd</f>
        <v>787.20558609398472</v>
      </c>
      <c r="G53" s="9" t="s">
        <v>25</v>
      </c>
      <c r="H53" s="9"/>
      <c r="I53" s="9"/>
      <c r="J53" s="9"/>
      <c r="K53" s="25"/>
      <c r="L53" s="26"/>
      <c r="M53" s="28"/>
    </row>
    <row r="54" spans="1:13" ht="12.95" customHeight="1" x14ac:dyDescent="0.2">
      <c r="A54" s="9"/>
      <c r="D54" s="3" t="s">
        <v>96</v>
      </c>
      <c r="E54" s="3" t="s">
        <v>97</v>
      </c>
      <c r="F54" s="93">
        <f>'EC7 (DA1-2)'!F87</f>
        <v>695</v>
      </c>
      <c r="G54" s="9" t="s">
        <v>25</v>
      </c>
      <c r="H54" s="9"/>
      <c r="I54" s="9"/>
      <c r="J54" s="9"/>
      <c r="K54" s="25"/>
      <c r="L54" s="26"/>
      <c r="M54" s="28"/>
    </row>
    <row r="55" spans="1:13" ht="12.95" customHeight="1" x14ac:dyDescent="0.2">
      <c r="A55" s="9"/>
      <c r="C55" s="8"/>
      <c r="D55" s="3" t="s">
        <v>32</v>
      </c>
      <c r="E55" s="35" t="s">
        <v>28</v>
      </c>
      <c r="F55" s="57">
        <f>'EC7 (DA1-2)'!F88</f>
        <v>1.1326699080488989</v>
      </c>
      <c r="G55" s="9"/>
      <c r="H55" s="9"/>
      <c r="I55" s="9"/>
      <c r="J55" s="9"/>
      <c r="K55" s="9"/>
      <c r="L55" s="26"/>
      <c r="M55" s="29"/>
    </row>
    <row r="56" spans="1:13" ht="12.95" customHeight="1" x14ac:dyDescent="0.2">
      <c r="D56" s="3" t="s">
        <v>29</v>
      </c>
      <c r="E56" s="35" t="s">
        <v>30</v>
      </c>
      <c r="F56" s="58">
        <f>'EC7 (DA1-2)'!F89</f>
        <v>0.8828697512787006</v>
      </c>
      <c r="K56" s="9"/>
      <c r="L56" s="26"/>
      <c r="M56" s="29"/>
    </row>
    <row r="57" spans="1:13" ht="12.75" customHeight="1" x14ac:dyDescent="0.2">
      <c r="E57" s="9" t="str">
        <f>'EC7 (DA1-2)'!E90</f>
        <v>Safe: Adequate capacity.</v>
      </c>
    </row>
    <row r="58" spans="1:13" ht="12.75" customHeight="1" x14ac:dyDescent="0.2"/>
    <row r="59" spans="1:13" ht="12.75" customHeight="1" x14ac:dyDescent="0.2"/>
    <row r="60" spans="1:13" ht="12.75" customHeight="1" x14ac:dyDescent="0.2"/>
    <row r="61" spans="1:13" ht="12.75" customHeight="1" x14ac:dyDescent="0.2"/>
    <row r="62" spans="1:13" ht="12.75" customHeight="1" x14ac:dyDescent="0.2"/>
    <row r="63" spans="1:13" ht="12.75" customHeight="1" x14ac:dyDescent="0.2"/>
    <row r="64" spans="1:13"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sheetData>
  <mergeCells count="15">
    <mergeCell ref="B10:J15"/>
    <mergeCell ref="Y4:Z4"/>
    <mergeCell ref="S10:AC10"/>
    <mergeCell ref="V3:Z3"/>
    <mergeCell ref="B7:J7"/>
    <mergeCell ref="A1:C3"/>
    <mergeCell ref="D1:I1"/>
    <mergeCell ref="J1:K1"/>
    <mergeCell ref="D3:I3"/>
    <mergeCell ref="J3:K3"/>
    <mergeCell ref="A4:C6"/>
    <mergeCell ref="D5:E5"/>
    <mergeCell ref="F5:G5"/>
    <mergeCell ref="I5:J5"/>
    <mergeCell ref="W4:X4"/>
  </mergeCells>
  <phoneticPr fontId="3" type="noConversion"/>
  <conditionalFormatting sqref="E50:E51">
    <cfRule type="containsText" dxfId="4" priority="2" operator="containsText" text="Not Safe:">
      <formula>NOT(ISERROR(SEARCH("Not Safe:",E50)))</formula>
    </cfRule>
  </conditionalFormatting>
  <conditionalFormatting sqref="E57">
    <cfRule type="containsText" dxfId="3" priority="1" operator="containsText" text="Not Safe:">
      <formula>NOT(ISERROR(SEARCH("Not Safe:",E57)))</formula>
    </cfRule>
  </conditionalFormatting>
  <conditionalFormatting sqref="G33:H42">
    <cfRule type="expression" dxfId="2" priority="3">
      <formula>$F$21="Drained"</formula>
    </cfRule>
  </conditionalFormatting>
  <dataValidations count="2">
    <dataValidation type="list" allowBlank="1" showInputMessage="1" showErrorMessage="1" sqref="F20" xr:uid="{B901611A-24D4-4E2C-8349-E1E485A57971}">
      <formula1>"Driven, Bored"</formula1>
    </dataValidation>
    <dataValidation type="list" allowBlank="1" showInputMessage="1" showErrorMessage="1" sqref="F21" xr:uid="{9E4B381B-E2EB-46C8-9F1B-9003C5973315}">
      <formula1>"Drained, Undrained"</formula1>
    </dataValidation>
  </dataValidations>
  <pageMargins left="0.35" right="0.25" top="0.75" bottom="0.75" header="0.3" footer="0.3"/>
  <pageSetup paperSize="9" orientation="portrait" horizontalDpi="300" verticalDpi="300" r:id="rId1"/>
  <headerFooter>
    <oddFooter>&amp;L&amp;"Arial,Italic"Disclaimer. This tool follows EC7 conventions. Results are for preliminary use only and must be checked and approved by a suitably qualified engineer before reliance. PHICON accepts no liability without formal verification/approval.</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12A6E-D4A4-4896-B047-242754549194}">
  <dimension ref="A1:Q111"/>
  <sheetViews>
    <sheetView zoomScale="75" zoomScaleNormal="75" zoomScaleSheetLayoutView="150" workbookViewId="0">
      <selection activeCell="H54" sqref="H54"/>
    </sheetView>
  </sheetViews>
  <sheetFormatPr defaultColWidth="8.85546875" defaultRowHeight="12.75" x14ac:dyDescent="0.2"/>
  <cols>
    <col min="1" max="11" width="9" style="9" customWidth="1"/>
    <col min="12" max="14" width="8.85546875" style="9" customWidth="1"/>
    <col min="15" max="17" width="8.85546875" style="9"/>
    <col min="18" max="18" width="25.28515625" style="9" customWidth="1"/>
    <col min="19" max="19" width="17.28515625" style="9" customWidth="1"/>
    <col min="20" max="16384" width="8.85546875" style="9"/>
  </cols>
  <sheetData>
    <row r="1" spans="1:15" ht="15" customHeight="1" x14ac:dyDescent="0.2">
      <c r="A1" s="123"/>
      <c r="B1" s="123"/>
      <c r="C1" s="103"/>
      <c r="D1" s="114" t="s">
        <v>2</v>
      </c>
      <c r="E1" s="115"/>
      <c r="F1" s="115"/>
      <c r="G1" s="115"/>
      <c r="H1" s="115"/>
      <c r="I1" s="116"/>
      <c r="J1" s="114" t="s">
        <v>3</v>
      </c>
      <c r="K1" s="116"/>
      <c r="O1" s="30"/>
    </row>
    <row r="2" spans="1:15" ht="15" customHeight="1" x14ac:dyDescent="0.2">
      <c r="A2" s="123"/>
      <c r="B2" s="123"/>
      <c r="C2" s="103"/>
      <c r="D2" s="16" t="str">
        <f>'Data input'!$D$2</f>
        <v>Example Project</v>
      </c>
      <c r="E2" s="17"/>
      <c r="F2" s="17"/>
      <c r="G2" s="17"/>
      <c r="H2" s="17"/>
      <c r="I2" s="18"/>
      <c r="J2" s="16" t="str">
        <f>'Data input'!$J$2</f>
        <v>Eample Job No.</v>
      </c>
      <c r="K2" s="18"/>
      <c r="O2" s="30"/>
    </row>
    <row r="3" spans="1:15" ht="15" customHeight="1" x14ac:dyDescent="0.2">
      <c r="A3" s="123"/>
      <c r="B3" s="123"/>
      <c r="C3" s="103"/>
      <c r="D3" s="114" t="s">
        <v>6</v>
      </c>
      <c r="E3" s="115"/>
      <c r="F3" s="115"/>
      <c r="G3" s="115"/>
      <c r="H3" s="115"/>
      <c r="I3" s="116"/>
      <c r="J3" s="117" t="s">
        <v>7</v>
      </c>
      <c r="K3" s="118"/>
    </row>
    <row r="4" spans="1:15" ht="15" customHeight="1" x14ac:dyDescent="0.2">
      <c r="A4" s="124" t="s">
        <v>8</v>
      </c>
      <c r="B4" s="125"/>
      <c r="C4" s="126"/>
      <c r="D4" s="16" t="str">
        <f>'Data input'!$D$4</f>
        <v>Example Structure</v>
      </c>
      <c r="E4" s="17"/>
      <c r="F4" s="17"/>
      <c r="G4" s="17"/>
      <c r="H4" s="17"/>
      <c r="I4" s="18"/>
      <c r="J4" s="16"/>
      <c r="K4" s="18"/>
    </row>
    <row r="5" spans="1:15" ht="15" customHeight="1" x14ac:dyDescent="0.2">
      <c r="A5" s="125"/>
      <c r="B5" s="125"/>
      <c r="C5" s="126"/>
      <c r="D5" s="114" t="s">
        <v>10</v>
      </c>
      <c r="E5" s="116"/>
      <c r="F5" s="114" t="s">
        <v>11</v>
      </c>
      <c r="G5" s="116"/>
      <c r="H5" s="1" t="s">
        <v>12</v>
      </c>
      <c r="I5" s="117" t="s">
        <v>13</v>
      </c>
      <c r="J5" s="118"/>
      <c r="K5" s="2" t="s">
        <v>12</v>
      </c>
    </row>
    <row r="6" spans="1:15" ht="15" customHeight="1" x14ac:dyDescent="0.2">
      <c r="A6" s="125"/>
      <c r="B6" s="125"/>
      <c r="C6" s="126"/>
      <c r="D6" s="19" t="str">
        <f>'Data input'!$D$6</f>
        <v>Example Client</v>
      </c>
      <c r="E6" s="18"/>
      <c r="F6" s="19" t="str">
        <f>'Data input'!$F$6</f>
        <v>Example Engineer</v>
      </c>
      <c r="G6" s="18"/>
      <c r="H6" s="20">
        <f ca="1">TODAY()</f>
        <v>45964</v>
      </c>
      <c r="I6" s="19" t="str">
        <f>'Data input'!$I$6</f>
        <v>Example Checker</v>
      </c>
      <c r="J6" s="18"/>
      <c r="K6" s="20">
        <f ca="1">TODAY()</f>
        <v>45964</v>
      </c>
    </row>
    <row r="7" spans="1:15" ht="12.75" customHeight="1" x14ac:dyDescent="0.2">
      <c r="A7" s="21" t="s">
        <v>17</v>
      </c>
      <c r="B7" s="110" t="s">
        <v>18</v>
      </c>
      <c r="C7" s="110"/>
      <c r="D7" s="111"/>
      <c r="E7" s="111"/>
      <c r="F7" s="111"/>
      <c r="G7" s="111"/>
      <c r="H7" s="111"/>
      <c r="I7" s="111"/>
      <c r="J7" s="111"/>
      <c r="K7" s="22" t="s">
        <v>19</v>
      </c>
    </row>
    <row r="8" spans="1:15" ht="12.95" customHeight="1" x14ac:dyDescent="0.2">
      <c r="F8" s="41"/>
    </row>
    <row r="9" spans="1:15" ht="12.95" customHeight="1" x14ac:dyDescent="0.2">
      <c r="F9" s="41" t="str">
        <f>CONCATENATE("Concrete ",Type," Pile")</f>
        <v>Concrete Driven Pile</v>
      </c>
    </row>
    <row r="10" spans="1:15" ht="12.95" customHeight="1" x14ac:dyDescent="0.2">
      <c r="B10" s="8" t="s">
        <v>26</v>
      </c>
      <c r="F10" s="41"/>
    </row>
    <row r="11" spans="1:15" ht="12.95" customHeight="1" x14ac:dyDescent="0.2">
      <c r="B11" s="8" t="s">
        <v>27</v>
      </c>
      <c r="L11"/>
    </row>
    <row r="12" spans="1:15" ht="12.95" customHeight="1" x14ac:dyDescent="0.2">
      <c r="B12" s="8"/>
    </row>
    <row r="13" spans="1:15" ht="12.95" customHeight="1" x14ac:dyDescent="0.2">
      <c r="B13" s="8"/>
      <c r="C13" s="10" t="s">
        <v>20</v>
      </c>
    </row>
    <row r="14" spans="1:15" ht="12.95" customHeight="1" x14ac:dyDescent="0.2">
      <c r="B14" s="8"/>
      <c r="C14" s="31"/>
      <c r="D14" s="42" t="s">
        <v>59</v>
      </c>
    </row>
    <row r="15" spans="1:15" ht="12.95" customHeight="1" x14ac:dyDescent="0.2">
      <c r="B15" s="8"/>
      <c r="C15" s="13"/>
      <c r="D15" s="14" t="s">
        <v>21</v>
      </c>
      <c r="E15" s="14" t="s">
        <v>22</v>
      </c>
      <c r="F15" s="32">
        <v>1.35</v>
      </c>
    </row>
    <row r="16" spans="1:15" ht="12.95" customHeight="1" x14ac:dyDescent="0.2">
      <c r="B16" s="8"/>
      <c r="C16" s="13"/>
      <c r="D16" s="14" t="s">
        <v>23</v>
      </c>
      <c r="E16" s="14" t="s">
        <v>24</v>
      </c>
      <c r="F16" s="32">
        <v>1.5</v>
      </c>
    </row>
    <row r="17" spans="2:17" ht="12.95" customHeight="1" x14ac:dyDescent="0.2">
      <c r="B17" s="8"/>
      <c r="C17" s="13"/>
      <c r="D17" s="14"/>
      <c r="E17" s="14"/>
      <c r="F17"/>
    </row>
    <row r="18" spans="2:17" ht="12.95" customHeight="1" x14ac:dyDescent="0.2">
      <c r="B18" s="8"/>
      <c r="C18" s="31"/>
      <c r="D18" s="42" t="s">
        <v>58</v>
      </c>
    </row>
    <row r="19" spans="2:17" ht="12.95" customHeight="1" x14ac:dyDescent="0.2">
      <c r="B19" s="8"/>
      <c r="C19" s="31"/>
      <c r="D19" s="3" t="s">
        <v>61</v>
      </c>
      <c r="E19" s="36" t="s">
        <v>107</v>
      </c>
      <c r="F19" s="66">
        <f>IF(Type="Bored",'Data input'!X6,'Data input'!W6)</f>
        <v>1</v>
      </c>
    </row>
    <row r="20" spans="2:17" ht="12.95" customHeight="1" x14ac:dyDescent="0.2">
      <c r="B20" s="8"/>
      <c r="C20" s="31"/>
      <c r="D20" s="3" t="s">
        <v>62</v>
      </c>
      <c r="E20" s="36" t="s">
        <v>60</v>
      </c>
      <c r="F20" s="66">
        <f>IF(Type="Bored",'Data input'!X7,'Data input'!W7)</f>
        <v>1</v>
      </c>
    </row>
    <row r="21" spans="2:17" ht="12.95" customHeight="1" x14ac:dyDescent="0.2">
      <c r="B21" s="8"/>
      <c r="C21" s="31"/>
      <c r="D21" s="3"/>
      <c r="E21" s="36"/>
      <c r="F21"/>
    </row>
    <row r="22" spans="2:17" ht="12.95" customHeight="1" x14ac:dyDescent="0.2">
      <c r="C22" s="10" t="s">
        <v>67</v>
      </c>
      <c r="E22" s="3"/>
      <c r="F22" s="12"/>
      <c r="J22" s="25"/>
    </row>
    <row r="23" spans="2:17" ht="12.95" customHeight="1" x14ac:dyDescent="0.3">
      <c r="D23" s="3" t="s">
        <v>68</v>
      </c>
      <c r="E23" s="35" t="s">
        <v>99</v>
      </c>
      <c r="F23" s="33">
        <f>(PI()*D^2)/4</f>
        <v>0.38484510006474959</v>
      </c>
      <c r="G23" s="9" t="s">
        <v>31</v>
      </c>
      <c r="K23" s="25"/>
    </row>
    <row r="24" spans="2:17" ht="12.95" customHeight="1" x14ac:dyDescent="0.3">
      <c r="D24" s="3" t="s">
        <v>69</v>
      </c>
      <c r="E24" s="35" t="s">
        <v>100</v>
      </c>
      <c r="F24" s="33">
        <f>PI()*D*L</f>
        <v>21.991148575128552</v>
      </c>
      <c r="G24" s="9" t="s">
        <v>31</v>
      </c>
      <c r="K24" s="25"/>
    </row>
    <row r="25" spans="2:17" ht="12.95" customHeight="1" x14ac:dyDescent="0.2">
      <c r="D25" s="3"/>
      <c r="E25" s="35"/>
      <c r="F25" s="33"/>
      <c r="I25" s="3"/>
      <c r="K25" s="25"/>
    </row>
    <row r="26" spans="2:17" ht="12.95" customHeight="1" x14ac:dyDescent="0.2">
      <c r="C26" s="10" t="s">
        <v>111</v>
      </c>
      <c r="D26" s="3"/>
      <c r="E26" s="35"/>
      <c r="F26" s="33"/>
      <c r="I26" s="3"/>
      <c r="K26" s="25"/>
    </row>
    <row r="27" spans="2:17" ht="12.95" customHeight="1" x14ac:dyDescent="0.2">
      <c r="C27" s="10"/>
      <c r="D27" s="3"/>
      <c r="E27" s="35"/>
      <c r="F27" s="33"/>
      <c r="G27" s="122" t="str">
        <f>IF(Condition="Drained","Effective Stress (kPa)","")</f>
        <v/>
      </c>
      <c r="H27" s="122"/>
      <c r="I27" s="3"/>
      <c r="K27" s="25"/>
    </row>
    <row r="28" spans="2:17" ht="12.95" customHeight="1" x14ac:dyDescent="0.2">
      <c r="C28" s="70" t="s">
        <v>119</v>
      </c>
      <c r="D28" s="90" t="str">
        <f>IF(Condition="Drained","Nq","Nc")</f>
        <v>Nc</v>
      </c>
      <c r="E28" s="85" t="str">
        <f>IF(Condition="Drained","Ks","α")</f>
        <v>α</v>
      </c>
      <c r="F28" s="85" t="str">
        <f>IF(Condition="Drained","δ (°)","")</f>
        <v/>
      </c>
      <c r="G28" s="85" t="str">
        <f>IF(Condition="Drained","σ'v (Shaft)","")</f>
        <v/>
      </c>
      <c r="H28" s="86" t="str">
        <f>IF(Condition="Drained","σ'v (Base)","")</f>
        <v/>
      </c>
      <c r="K28" s="25"/>
    </row>
    <row r="29" spans="2:17" ht="12.95" customHeight="1" x14ac:dyDescent="0.2">
      <c r="B29" s="3"/>
      <c r="C29" s="71" t="str">
        <f>IF('Data input'!D33="","",'Data input'!C33)</f>
        <v>BH-01 =</v>
      </c>
      <c r="D29" s="87">
        <f>IF(C29="","",IF(Condition="Drained",0.176*EXP(0.177*'Data input'!E33),9))</f>
        <v>9</v>
      </c>
      <c r="E29" s="87">
        <f>IF(C29="","",IF(Condition="Drained",IF('Data input'!D33&gt;34,2,1),IF('Data input'!D33&gt;50,0.7,1)))</f>
        <v>0.7</v>
      </c>
      <c r="F29" s="87" t="str">
        <f>IF(AND(Condition="Drained",ISNUMBER('Data input'!D33)),0.75*'Data input'!D33,"")</f>
        <v/>
      </c>
      <c r="G29" s="87" t="str">
        <f>IF(AND(Condition="Drained",ISNUMBER('Data input'!G33)),0.5*(IF(L&lt;=20*D,IF(L&gt;GWT,L*'Data input'!G33-(L-GWT)*9.81,L*'Data input'!G33),IF(20*D&gt;GWT,20*D*'Data input'!G33-(20*D-GWT)*9.81,20*D*'Data input'!G33))),"")</f>
        <v/>
      </c>
      <c r="H29" s="88" t="str">
        <f>IF(AND(Condition="Drained",ISNUMBER('Data input'!G33)),IF(L&lt;=20*D,IF(L&gt;GWT,L*'Data input'!H33-(L-GWT)*9.81,L*'Data input'!H33),IF(20*D&gt;GWT,20*D*'Data input'!H33-(20*D-GWT)*9.81,20*D*'Data input'!H33)),"")</f>
        <v/>
      </c>
      <c r="I29" s="3"/>
      <c r="K29" s="25"/>
      <c r="P29" s="7"/>
      <c r="Q29" s="7"/>
    </row>
    <row r="30" spans="2:17" ht="12.95" customHeight="1" x14ac:dyDescent="0.2">
      <c r="B30" s="3"/>
      <c r="C30" s="71" t="str">
        <f>IF('Data input'!D34="","",'Data input'!C34)</f>
        <v>BH-02 =</v>
      </c>
      <c r="D30" s="87">
        <f>IF(C30="","",IF(Condition="Drained",0.176*EXP(0.177*'Data input'!E34),9))</f>
        <v>9</v>
      </c>
      <c r="E30" s="87">
        <f>IF(C30="","",IF(Condition="Drained",IF('Data input'!D34&gt;34,2,1),IF('Data input'!D34&gt;50,0.7,1)))</f>
        <v>0.7</v>
      </c>
      <c r="F30" s="87" t="str">
        <f>IF(AND(Condition="Drained",ISNUMBER('Data input'!D34)),0.75*'Data input'!D34,"")</f>
        <v/>
      </c>
      <c r="G30" s="87" t="str">
        <f>IF(AND(Condition="Drained",ISNUMBER('Data input'!G34)),0.5*(IF(L&lt;=20*D,IF(L&gt;GWT,L*'Data input'!G34-(L-GWT)*9.81,L*'Data input'!G34),IF(20*D&gt;GWT,20*D*'Data input'!G34-(20*D-GWT)*9.81,20*D*'Data input'!G34))),"")</f>
        <v/>
      </c>
      <c r="H30" s="88" t="str">
        <f>IF(AND(Condition="Drained",ISNUMBER('Data input'!G34)),IF(L&lt;=20*D,IF(L&gt;GWT,L*'Data input'!H34-(L-GWT)*9.81,L*'Data input'!H34),IF(20*D&gt;GWT,20*D*'Data input'!H34-(20*D-GWT)*9.81,20*D*'Data input'!H34)),"")</f>
        <v/>
      </c>
      <c r="I30" s="3"/>
      <c r="K30" s="25"/>
      <c r="P30" s="7"/>
      <c r="Q30" s="7"/>
    </row>
    <row r="31" spans="2:17" ht="12.95" customHeight="1" x14ac:dyDescent="0.2">
      <c r="B31" s="3"/>
      <c r="C31" s="71" t="str">
        <f>IF('Data input'!D35="","",'Data input'!C35)</f>
        <v>BH-03 =</v>
      </c>
      <c r="D31" s="87">
        <f>IF(C31="","",IF(Condition="Drained",0.176*EXP(0.177*'Data input'!E35),9))</f>
        <v>9</v>
      </c>
      <c r="E31" s="87">
        <f>IF(C31="","",IF(Condition="Drained",IF('Data input'!D35&gt;34,2,1),IF('Data input'!D35&gt;50,0.7,1)))</f>
        <v>0.7</v>
      </c>
      <c r="F31" s="87" t="str">
        <f>IF(AND(Condition="Drained",ISNUMBER('Data input'!D35)),0.75*'Data input'!D35,"")</f>
        <v/>
      </c>
      <c r="G31" s="87" t="str">
        <f>IF(AND(Condition="Drained",ISNUMBER('Data input'!G35)),0.5*(IF(L&lt;=20*D,IF(L&gt;GWT,L*'Data input'!G35-(L-GWT)*9.81,L*'Data input'!G35),IF(20*D&gt;GWT,20*D*'Data input'!G35-(20*D-GWT)*9.81,20*D*'Data input'!G35))),"")</f>
        <v/>
      </c>
      <c r="H31" s="88" t="str">
        <f>IF(AND(Condition="Drained",ISNUMBER('Data input'!G35)),IF(L&lt;=20*D,IF(L&gt;GWT,L*'Data input'!H35-(L-GWT)*9.81,L*'Data input'!H35),IF(20*D&gt;GWT,20*D*'Data input'!H35-(20*D-GWT)*9.81,20*D*'Data input'!H35)),"")</f>
        <v/>
      </c>
      <c r="I31" s="3"/>
      <c r="K31" s="25"/>
      <c r="P31" s="7"/>
      <c r="Q31" s="7"/>
    </row>
    <row r="32" spans="2:17" ht="12.95" customHeight="1" x14ac:dyDescent="0.2">
      <c r="B32" s="3"/>
      <c r="C32" s="71" t="str">
        <f>IF('Data input'!D36="","",'Data input'!C36)</f>
        <v>BH-04 =</v>
      </c>
      <c r="D32" s="87">
        <f>IF(C32="","",IF(Condition="Drained",0.176*EXP(0.177*'Data input'!E36),9))</f>
        <v>9</v>
      </c>
      <c r="E32" s="87">
        <f>IF(C32="","",IF(Condition="Drained",IF('Data input'!D36&gt;34,2,1),IF('Data input'!D36&gt;50,0.7,1)))</f>
        <v>0.7</v>
      </c>
      <c r="F32" s="87" t="str">
        <f>IF(AND(Condition="Drained",ISNUMBER('Data input'!D36)),0.75*'Data input'!D36,"")</f>
        <v/>
      </c>
      <c r="G32" s="87" t="str">
        <f>IF(AND(Condition="Drained",ISNUMBER('Data input'!G36)),0.5*(IF(L&lt;=20*D,IF(L&gt;GWT,L*'Data input'!G36-(L-GWT)*9.81,L*'Data input'!G36),IF(20*D&gt;GWT,20*D*'Data input'!G36-(20*D-GWT)*9.81,20*D*'Data input'!G36))),"")</f>
        <v/>
      </c>
      <c r="H32" s="88" t="str">
        <f>IF(AND(Condition="Drained",ISNUMBER('Data input'!G36)),IF(L&lt;=20*D,IF(L&gt;GWT,L*'Data input'!H36-(L-GWT)*9.81,L*'Data input'!H36),IF(20*D&gt;GWT,20*D*'Data input'!H36-(20*D-GWT)*9.81,20*D*'Data input'!H36)),"")</f>
        <v/>
      </c>
      <c r="I32" s="3"/>
      <c r="K32" s="25"/>
      <c r="P32" s="7"/>
      <c r="Q32" s="7"/>
    </row>
    <row r="33" spans="2:17" ht="12.95" customHeight="1" x14ac:dyDescent="0.2">
      <c r="B33" s="3" t="str">
        <f>IF('Data input'!D37="","",'Data input'!C37)</f>
        <v/>
      </c>
      <c r="C33" s="71" t="str">
        <f>IF('Data input'!D37="","",'Data input'!C37)</f>
        <v/>
      </c>
      <c r="D33" s="87" t="str">
        <f>IF(C33="","",IF(Condition="Drained",0.176*EXP(0.177*'Data input'!E37),9))</f>
        <v/>
      </c>
      <c r="E33" s="87" t="str">
        <f>IF(C33="","",IF(Condition="Drained",IF('Data input'!D37&gt;34,2,1),IF('Data input'!D37&gt;50,0.7,1)))</f>
        <v/>
      </c>
      <c r="F33" s="87" t="str">
        <f>IF(AND(Condition="Drained",ISNUMBER('Data input'!D37)),0.75*'Data input'!D37,"")</f>
        <v/>
      </c>
      <c r="G33" s="87" t="str">
        <f>IF(AND(Condition="Drained",ISNUMBER('Data input'!G37)),0.5*(IF(L&lt;=20*D,IF(L&gt;GWT,L*'Data input'!G37-(L-GWT)*9.81,L*'Data input'!G37),IF(20*D&gt;GWT,20*D*'Data input'!G37-(20*D-GWT)*9.81,20*D*'Data input'!G37))),"")</f>
        <v/>
      </c>
      <c r="H33" s="88" t="str">
        <f>IF(AND(Condition="Drained",ISNUMBER('Data input'!G37)),IF(L&lt;=20*D,IF(L&gt;GWT,L*'Data input'!H37-(L-GWT)*9.81,L*'Data input'!H37),IF(20*D&gt;GWT,20*D*'Data input'!H37-(20*D-GWT)*9.81,20*D*'Data input'!H37)),"")</f>
        <v/>
      </c>
      <c r="I33" s="3"/>
      <c r="K33" s="25"/>
      <c r="P33" s="7"/>
      <c r="Q33" s="7"/>
    </row>
    <row r="34" spans="2:17" ht="12.95" customHeight="1" x14ac:dyDescent="0.2">
      <c r="B34" s="3" t="str">
        <f>IF('Data input'!D38="","",'Data input'!C38)</f>
        <v/>
      </c>
      <c r="C34" s="71" t="str">
        <f>IF('Data input'!D38="","",'Data input'!C38)</f>
        <v/>
      </c>
      <c r="D34" s="87" t="str">
        <f>IF(C34="","",IF(Condition="Drained",0.176*EXP(0.177*'Data input'!E38),9))</f>
        <v/>
      </c>
      <c r="E34" s="87" t="str">
        <f>IF(C34="","",IF(Condition="Drained",IF('Data input'!D38&gt;34,2,1),IF('Data input'!D38&gt;50,0.7,1)))</f>
        <v/>
      </c>
      <c r="F34" s="87" t="str">
        <f>IF(AND(Condition="Drained",ISNUMBER('Data input'!D38)),0.75*'Data input'!D38,"")</f>
        <v/>
      </c>
      <c r="G34" s="87" t="str">
        <f>IF(AND(Condition="Drained",ISNUMBER('Data input'!G38)),0.5*(IF(L&lt;=20*D,IF(L&gt;GWT,L*'Data input'!G38-(L-GWT)*9.81,L*'Data input'!G38),IF(20*D&gt;GWT,20*D*'Data input'!G38-(20*D-GWT)*9.81,20*D*'Data input'!G38))),"")</f>
        <v/>
      </c>
      <c r="H34" s="88" t="str">
        <f>IF(AND(Condition="Drained",ISNUMBER('Data input'!G38)),IF(L&lt;=20*D,IF(L&gt;GWT,L*'Data input'!H38-(L-GWT)*9.81,L*'Data input'!H38),IF(20*D&gt;GWT,20*D*'Data input'!H38-(20*D-GWT)*9.81,20*D*'Data input'!H38)),"")</f>
        <v/>
      </c>
      <c r="I34" s="3"/>
      <c r="K34" s="25"/>
      <c r="P34" s="7"/>
      <c r="Q34" s="7"/>
    </row>
    <row r="35" spans="2:17" ht="12.95" customHeight="1" x14ac:dyDescent="0.2">
      <c r="B35" s="3" t="str">
        <f>IF('Data input'!D39="","",'Data input'!C39)</f>
        <v/>
      </c>
      <c r="C35" s="71" t="str">
        <f>IF('Data input'!D39="","",'Data input'!C39)</f>
        <v/>
      </c>
      <c r="D35" s="87" t="str">
        <f>IF(C35="","",IF(Condition="Drained",0.176*EXP(0.177*'Data input'!E39),9))</f>
        <v/>
      </c>
      <c r="E35" s="87" t="str">
        <f>IF(C35="","",IF(Condition="Drained",IF('Data input'!D39&gt;34,2,1),IF('Data input'!D39&gt;50,0.7,1)))</f>
        <v/>
      </c>
      <c r="F35" s="87" t="str">
        <f>IF(AND(Condition="Drained",ISNUMBER('Data input'!D39)),0.75*'Data input'!D39,"")</f>
        <v/>
      </c>
      <c r="G35" s="87" t="str">
        <f>IF(AND(Condition="Drained",ISNUMBER('Data input'!G39)),0.5*(IF(L&lt;=20*D,IF(L&gt;GWT,L*'Data input'!G39-(L-GWT)*9.81,L*'Data input'!G39),IF(20*D&gt;GWT,20*D*'Data input'!G39-(20*D-GWT)*9.81,20*D*'Data input'!G39))),"")</f>
        <v/>
      </c>
      <c r="H35" s="88" t="str">
        <f>IF(AND(Condition="Drained",ISNUMBER('Data input'!G39)),IF(L&lt;=20*D,IF(L&gt;GWT,L*'Data input'!H39-(L-GWT)*9.81,L*'Data input'!H39),IF(20*D&gt;GWT,20*D*'Data input'!H39-(20*D-GWT)*9.81,20*D*'Data input'!H39)),"")</f>
        <v/>
      </c>
      <c r="I35" s="3"/>
      <c r="K35" s="25"/>
      <c r="P35" s="7"/>
      <c r="Q35" s="7"/>
    </row>
    <row r="36" spans="2:17" ht="12.95" customHeight="1" x14ac:dyDescent="0.2">
      <c r="B36" s="3" t="str">
        <f>IF('Data input'!D40="","",'Data input'!C40)</f>
        <v/>
      </c>
      <c r="C36" s="71" t="str">
        <f>IF('Data input'!D40="","",'Data input'!C40)</f>
        <v/>
      </c>
      <c r="D36" s="87" t="str">
        <f>IF(C36="","",IF(Condition="Drained",0.176*EXP(0.177*'Data input'!E40),9))</f>
        <v/>
      </c>
      <c r="E36" s="87" t="str">
        <f>IF(C36="","",IF(Condition="Drained",IF('Data input'!D40&gt;34,2,1),IF('Data input'!D40&gt;50,0.7,1)))</f>
        <v/>
      </c>
      <c r="F36" s="87" t="str">
        <f>IF(AND(Condition="Drained",ISNUMBER('Data input'!D40)),0.75*'Data input'!D40,"")</f>
        <v/>
      </c>
      <c r="G36" s="87" t="str">
        <f>IF(AND(Condition="Drained",ISNUMBER('Data input'!G40)),0.5*(IF(L&lt;=20*D,IF(L&gt;GWT,L*'Data input'!G40-(L-GWT)*9.81,L*'Data input'!G40),IF(20*D&gt;GWT,20*D*'Data input'!G40-(20*D-GWT)*9.81,20*D*'Data input'!G40))),"")</f>
        <v/>
      </c>
      <c r="H36" s="88" t="str">
        <f>IF(AND(Condition="Drained",ISNUMBER('Data input'!G40)),IF(L&lt;=20*D,IF(L&gt;GWT,L*'Data input'!H40-(L-GWT)*9.81,L*'Data input'!H40),IF(20*D&gt;GWT,20*D*'Data input'!H40-(20*D-GWT)*9.81,20*D*'Data input'!H40)),"")</f>
        <v/>
      </c>
      <c r="I36" s="3"/>
      <c r="K36" s="25"/>
      <c r="P36" s="7"/>
      <c r="Q36" s="7"/>
    </row>
    <row r="37" spans="2:17" ht="12.95" customHeight="1" x14ac:dyDescent="0.2">
      <c r="B37" s="3" t="str">
        <f>IF('Data input'!D41="","",'Data input'!C41)</f>
        <v/>
      </c>
      <c r="C37" s="71" t="str">
        <f>IF('Data input'!D41="","",'Data input'!C41)</f>
        <v/>
      </c>
      <c r="D37" s="87" t="str">
        <f>IF(C37="","",IF(Condition="Drained",0.176*EXP(0.177*'Data input'!E41),9))</f>
        <v/>
      </c>
      <c r="E37" s="87" t="str">
        <f>IF(C37="","",IF(Condition="Drained",IF('Data input'!D41&gt;34,2,1),IF('Data input'!D41&gt;50,0.7,1)))</f>
        <v/>
      </c>
      <c r="F37" s="87" t="str">
        <f>IF(AND(Condition="Drained",ISNUMBER('Data input'!D41)),0.75*'Data input'!D41,"")</f>
        <v/>
      </c>
      <c r="G37" s="87" t="str">
        <f>IF(AND(Condition="Drained",ISNUMBER('Data input'!G41)),0.5*(IF(L&lt;=20*D,IF(L&gt;GWT,L*'Data input'!G41-(L-GWT)*9.81,L*'Data input'!G41),IF(20*D&gt;GWT,20*D*'Data input'!G41-(20*D-GWT)*9.81,20*D*'Data input'!G41))),"")</f>
        <v/>
      </c>
      <c r="H37" s="88" t="str">
        <f>IF(AND(Condition="Drained",ISNUMBER('Data input'!G41)),IF(L&lt;=20*D,IF(L&gt;GWT,L*'Data input'!H41-(L-GWT)*9.81,L*'Data input'!H41),IF(20*D&gt;GWT,20*D*'Data input'!H41-(20*D-GWT)*9.81,20*D*'Data input'!H41)),"")</f>
        <v/>
      </c>
      <c r="I37" s="3"/>
      <c r="K37" s="25"/>
      <c r="P37" s="7"/>
      <c r="Q37" s="7"/>
    </row>
    <row r="38" spans="2:17" ht="12.95" customHeight="1" x14ac:dyDescent="0.2">
      <c r="B38" s="3" t="str">
        <f>IF('Data input'!D42="","",'Data input'!C42)</f>
        <v/>
      </c>
      <c r="C38" s="73" t="str">
        <f>IF('Data input'!D42="","",'Data input'!C42)</f>
        <v/>
      </c>
      <c r="D38" s="91" t="str">
        <f>IF(C38="","",IF(Condition="Drained",0.176*EXP(0.177*'Data input'!E42),9))</f>
        <v/>
      </c>
      <c r="E38" s="91" t="str">
        <f>IF(C38="","",IF(Condition="Drained",IF('Data input'!D42&gt;34,2,1),IF('Data input'!D42&gt;50,0.7,1)))</f>
        <v/>
      </c>
      <c r="F38" s="91" t="str">
        <f>IF(AND(Condition="Drained",ISNUMBER('Data input'!D42)),0.75*'Data input'!D42,"")</f>
        <v/>
      </c>
      <c r="G38" s="91" t="str">
        <f>IF(AND(Condition="Drained",ISNUMBER('Data input'!G42)),0.5*(IF(L&lt;=20*D,IF(L&gt;GWT,L*'Data input'!G42-(L-GWT)*9.81,L*'Data input'!G42),IF(20*D&gt;GWT,20*D*'Data input'!G42-(20*D-GWT)*9.81,20*D*'Data input'!G42))),"")</f>
        <v/>
      </c>
      <c r="H38" s="89" t="str">
        <f>IF(AND(Condition="Drained",ISNUMBER('Data input'!G42)),IF(L&lt;=20*D,IF(L&gt;GWT,L*'Data input'!H42-(L-GWT)*9.81,L*'Data input'!H42),IF(20*D&gt;GWT,20*D*'Data input'!H42-(20*D-GWT)*9.81,20*D*'Data input'!H42)),"")</f>
        <v/>
      </c>
      <c r="I38" s="3"/>
      <c r="K38" s="25"/>
      <c r="P38" s="7"/>
      <c r="Q38" s="7"/>
    </row>
    <row r="39" spans="2:17" ht="12.95" customHeight="1" x14ac:dyDescent="0.2">
      <c r="C39" s="10"/>
      <c r="D39" s="3"/>
      <c r="E39" s="35"/>
      <c r="F39" s="33"/>
      <c r="I39" s="3"/>
      <c r="K39" s="25"/>
      <c r="P39" s="7"/>
      <c r="Q39" s="7"/>
    </row>
    <row r="40" spans="2:17" ht="12.95" customHeight="1" x14ac:dyDescent="0.2">
      <c r="C40" s="10" t="s">
        <v>124</v>
      </c>
      <c r="D40" s="3"/>
      <c r="E40" s="67"/>
      <c r="F40" s="33"/>
      <c r="I40" s="3"/>
      <c r="K40" s="25"/>
      <c r="P40" s="7"/>
      <c r="Q40" s="7"/>
    </row>
    <row r="41" spans="2:17" ht="12.95" customHeight="1" x14ac:dyDescent="0.2">
      <c r="C41" s="31"/>
      <c r="D41" s="3" t="s">
        <v>63</v>
      </c>
      <c r="E41" s="35" t="s">
        <v>64</v>
      </c>
      <c r="F41" s="9">
        <f>COUNT('Data input'!D33:D42)</f>
        <v>4</v>
      </c>
      <c r="J41" s="25"/>
      <c r="P41" s="7"/>
      <c r="Q41" s="7"/>
    </row>
    <row r="42" spans="2:17" ht="12.95" customHeight="1" x14ac:dyDescent="0.25">
      <c r="D42" s="3" t="s">
        <v>65</v>
      </c>
      <c r="E42" s="68" t="s">
        <v>85</v>
      </c>
      <c r="F42" s="4">
        <f>HLOOKUP($F$41,'Data input'!$T$11:$AC$13,2,TRUE)</f>
        <v>1.31</v>
      </c>
      <c r="G42" s="5"/>
      <c r="I42" s="34"/>
      <c r="P42" s="7"/>
      <c r="Q42" s="7"/>
    </row>
    <row r="43" spans="2:17" ht="12.95" customHeight="1" x14ac:dyDescent="0.25">
      <c r="D43" s="3" t="s">
        <v>66</v>
      </c>
      <c r="E43" s="68" t="s">
        <v>86</v>
      </c>
      <c r="F43" s="4">
        <f>HLOOKUP($F$41,'Data input'!$T$11:$AC$13,3,TRUE)</f>
        <v>1.2</v>
      </c>
      <c r="G43" s="5"/>
      <c r="P43" s="7"/>
      <c r="Q43" s="7"/>
    </row>
    <row r="44" spans="2:17" ht="12.95" customHeight="1" x14ac:dyDescent="0.2">
      <c r="D44" s="14"/>
      <c r="E44" s="3"/>
      <c r="F44" s="4"/>
      <c r="G44" s="5"/>
      <c r="P44" s="7"/>
      <c r="Q44" s="7"/>
    </row>
    <row r="45" spans="2:17" ht="12.95" customHeight="1" x14ac:dyDescent="0.2">
      <c r="C45" s="10" t="s">
        <v>117</v>
      </c>
    </row>
    <row r="46" spans="2:17" ht="12.95" customHeight="1" x14ac:dyDescent="0.2">
      <c r="C46" s="55"/>
    </row>
    <row r="47" spans="2:17" ht="12.95" customHeight="1" x14ac:dyDescent="0.2">
      <c r="B47" s="42" t="s">
        <v>119</v>
      </c>
      <c r="C47" s="42" t="s">
        <v>116</v>
      </c>
      <c r="D47" s="5"/>
      <c r="E47" s="42" t="s">
        <v>62</v>
      </c>
      <c r="G47" s="42" t="s">
        <v>118</v>
      </c>
    </row>
    <row r="48" spans="2:17" ht="12.95" customHeight="1" x14ac:dyDescent="0.2">
      <c r="B48" s="70" t="str">
        <f>IF('Data input'!D33="","",'Data input'!C33)</f>
        <v>BH-01 =</v>
      </c>
      <c r="C48" s="74">
        <f>IF('Data input'!E33="","",IF(Condition="Drained",H29*D29*Ab,D29*'Data input'!E33*Ab))</f>
        <v>311.72453105244716</v>
      </c>
      <c r="D48" s="75" t="str">
        <f>IF(ISNUMBER(C48),"kN","")</f>
        <v>kN</v>
      </c>
      <c r="E48" s="76">
        <f>IF('Data input'!D33="","",IF(Condition="Drained",E29*G29*TAN(RADIANS(F29))*As,E29*'Data input'!D33*As))</f>
        <v>1000.5972601683491</v>
      </c>
      <c r="F48" s="75" t="str">
        <f>IF(ISNUMBER(E48),"kN","")</f>
        <v>kN</v>
      </c>
      <c r="G48" s="76">
        <f>IF(C48="","",C48+E48)</f>
        <v>1312.3217912207963</v>
      </c>
      <c r="H48" s="77" t="str">
        <f>IF(ISNUMBER(G48),"kN","")</f>
        <v>kN</v>
      </c>
    </row>
    <row r="49" spans="2:8" ht="12.95" customHeight="1" x14ac:dyDescent="0.2">
      <c r="B49" s="71" t="str">
        <f>IF('Data input'!D34="","",'Data input'!C34)</f>
        <v>BH-02 =</v>
      </c>
      <c r="C49" s="72">
        <f>IF('Data input'!E34="","",IF(Condition="Drained",H30*D30*Ab,D30*'Data input'!E34*Ab))</f>
        <v>273.62486614603694</v>
      </c>
      <c r="D49" s="78" t="str">
        <f t="shared" ref="D49:D57" si="0">IF(ISNUMBER(C49),"kN","")</f>
        <v>kN</v>
      </c>
      <c r="E49" s="79">
        <f>IF('Data input'!D34="","",IF(Condition="Drained",E30*G30*TAN(RADIANS(F30))*As,E30*'Data input'!D34*As))</f>
        <v>954.41584816057912</v>
      </c>
      <c r="F49" s="78" t="str">
        <f t="shared" ref="F49:F57" si="1">IF(ISNUMBER(E49),"kN","")</f>
        <v>kN</v>
      </c>
      <c r="G49" s="79">
        <f t="shared" ref="G49:G57" si="2">IF(C49="","",C49+E49)</f>
        <v>1228.0407143066161</v>
      </c>
      <c r="H49" s="80" t="str">
        <f t="shared" ref="H49:H57" si="3">IF(ISNUMBER(G49),"kN","")</f>
        <v>kN</v>
      </c>
    </row>
    <row r="50" spans="2:8" ht="12.95" customHeight="1" x14ac:dyDescent="0.2">
      <c r="B50" s="71" t="str">
        <f>IF('Data input'!D35="","",'Data input'!C35)</f>
        <v>BH-03 =</v>
      </c>
      <c r="C50" s="72">
        <f>IF('Data input'!E35="","",IF(Condition="Drained",H31*D31*Ab,D31*'Data input'!E35*Ab))</f>
        <v>332.50616645594363</v>
      </c>
      <c r="D50" s="78" t="str">
        <f t="shared" si="0"/>
        <v>kN</v>
      </c>
      <c r="E50" s="79">
        <f>IF('Data input'!D35="","",IF(Condition="Drained",E31*G31*TAN(RADIANS(F31))*As,E31*'Data input'!D35*As))</f>
        <v>1077.5662801812991</v>
      </c>
      <c r="F50" s="78" t="str">
        <f t="shared" si="1"/>
        <v>kN</v>
      </c>
      <c r="G50" s="79">
        <f t="shared" si="2"/>
        <v>1410.0724466372428</v>
      </c>
      <c r="H50" s="80" t="str">
        <f t="shared" si="3"/>
        <v>kN</v>
      </c>
    </row>
    <row r="51" spans="2:8" ht="12.95" customHeight="1" x14ac:dyDescent="0.2">
      <c r="B51" s="71" t="str">
        <f>IF('Data input'!D36="","",'Data input'!C36)</f>
        <v>BH-04 =</v>
      </c>
      <c r="C51" s="72">
        <f>IF('Data input'!E36="","",IF(Condition="Drained",H32*D32*Ab,D32*'Data input'!E36*Ab))</f>
        <v>346.36059005827462</v>
      </c>
      <c r="D51" s="78" t="str">
        <f t="shared" si="0"/>
        <v>kN</v>
      </c>
      <c r="E51" s="79">
        <f>IF('Data input'!D36="","",IF(Condition="Drained",E32*G32*TAN(RADIANS(F32))*As,E32*'Data input'!D36*As))</f>
        <v>1123.7476921890689</v>
      </c>
      <c r="F51" s="78" t="str">
        <f t="shared" si="1"/>
        <v>kN</v>
      </c>
      <c r="G51" s="79">
        <f t="shared" si="2"/>
        <v>1470.1082822473436</v>
      </c>
      <c r="H51" s="80" t="str">
        <f t="shared" si="3"/>
        <v>kN</v>
      </c>
    </row>
    <row r="52" spans="2:8" ht="12.95" customHeight="1" x14ac:dyDescent="0.2">
      <c r="B52" s="71" t="str">
        <f>IF('Data input'!D37="","",'Data input'!C37)</f>
        <v/>
      </c>
      <c r="C52" s="72" t="str">
        <f>IF('Data input'!E37="","",IF(Condition="Drained",H33*D33*Ab,D33*'Data input'!E37*Ab))</f>
        <v/>
      </c>
      <c r="D52" s="78" t="str">
        <f t="shared" si="0"/>
        <v/>
      </c>
      <c r="E52" s="79" t="str">
        <f>IF('Data input'!D37="","",IF(Condition="Drained",E33*G33*TAN(RADIANS(F33))*As,E33*'Data input'!D37*As))</f>
        <v/>
      </c>
      <c r="F52" s="78" t="str">
        <f t="shared" si="1"/>
        <v/>
      </c>
      <c r="G52" s="79" t="str">
        <f t="shared" si="2"/>
        <v/>
      </c>
      <c r="H52" s="80" t="str">
        <f t="shared" si="3"/>
        <v/>
      </c>
    </row>
    <row r="53" spans="2:8" ht="12.95" customHeight="1" x14ac:dyDescent="0.2">
      <c r="B53" s="71" t="str">
        <f>IF('Data input'!D38="","",'Data input'!C38)</f>
        <v/>
      </c>
      <c r="C53" s="72" t="str">
        <f>IF('Data input'!E38="","",IF(Condition="Drained",H34*D34*Ab,D34*'Data input'!E38*Ab))</f>
        <v/>
      </c>
      <c r="D53" s="78" t="str">
        <f t="shared" si="0"/>
        <v/>
      </c>
      <c r="E53" s="79" t="str">
        <f>IF('Data input'!D38="","",IF(Condition="Drained",E34*G34*TAN(RADIANS(F34))*As,E34*'Data input'!D38*As))</f>
        <v/>
      </c>
      <c r="F53" s="78" t="str">
        <f t="shared" si="1"/>
        <v/>
      </c>
      <c r="G53" s="79" t="str">
        <f t="shared" si="2"/>
        <v/>
      </c>
      <c r="H53" s="80" t="str">
        <f t="shared" si="3"/>
        <v/>
      </c>
    </row>
    <row r="54" spans="2:8" ht="12.95" customHeight="1" x14ac:dyDescent="0.2">
      <c r="B54" s="71" t="str">
        <f>IF('Data input'!D39="","",'Data input'!C39)</f>
        <v/>
      </c>
      <c r="C54" s="72" t="str">
        <f>IF('Data input'!E39="","",IF(Condition="Drained",H35*D35*Ab,D35*'Data input'!E39*Ab))</f>
        <v/>
      </c>
      <c r="D54" s="78" t="str">
        <f t="shared" si="0"/>
        <v/>
      </c>
      <c r="E54" s="79" t="str">
        <f>IF('Data input'!D39="","",IF(Condition="Drained",E35*G35*TAN(RADIANS(F35))*As,E35*'Data input'!D39*As))</f>
        <v/>
      </c>
      <c r="F54" s="78" t="str">
        <f t="shared" si="1"/>
        <v/>
      </c>
      <c r="G54" s="79" t="str">
        <f t="shared" si="2"/>
        <v/>
      </c>
      <c r="H54" s="80" t="str">
        <f t="shared" si="3"/>
        <v/>
      </c>
    </row>
    <row r="55" spans="2:8" ht="12.95" customHeight="1" x14ac:dyDescent="0.2">
      <c r="B55" s="71" t="str">
        <f>IF('Data input'!D40="","",'Data input'!C40)</f>
        <v/>
      </c>
      <c r="C55" s="72" t="str">
        <f>IF('Data input'!E40="","",IF(Condition="Drained",H36*D36*Ab,D36*'Data input'!E40*Ab))</f>
        <v/>
      </c>
      <c r="D55" s="78" t="str">
        <f t="shared" si="0"/>
        <v/>
      </c>
      <c r="E55" s="79" t="str">
        <f>IF('Data input'!D40="","",IF(Condition="Drained",E36*G36*TAN(RADIANS(F36))*As,E36*'Data input'!D40*As))</f>
        <v/>
      </c>
      <c r="F55" s="78" t="str">
        <f t="shared" si="1"/>
        <v/>
      </c>
      <c r="G55" s="79" t="str">
        <f t="shared" si="2"/>
        <v/>
      </c>
      <c r="H55" s="80" t="str">
        <f t="shared" si="3"/>
        <v/>
      </c>
    </row>
    <row r="56" spans="2:8" ht="12.95" customHeight="1" x14ac:dyDescent="0.2">
      <c r="B56" s="71" t="str">
        <f>IF('Data input'!D41="","",'Data input'!C41)</f>
        <v/>
      </c>
      <c r="C56" s="72" t="str">
        <f>IF('Data input'!E41="","",IF(Condition="Drained",H37*D37*Ab,D37*'Data input'!E41*Ab))</f>
        <v/>
      </c>
      <c r="D56" s="78" t="str">
        <f t="shared" si="0"/>
        <v/>
      </c>
      <c r="E56" s="79" t="str">
        <f>IF('Data input'!D41="","",IF(Condition="Drained",E37*G37*TAN(RADIANS(F37))*As,E37*'Data input'!D41*As))</f>
        <v/>
      </c>
      <c r="F56" s="78" t="str">
        <f t="shared" si="1"/>
        <v/>
      </c>
      <c r="G56" s="79" t="str">
        <f t="shared" si="2"/>
        <v/>
      </c>
      <c r="H56" s="80" t="str">
        <f t="shared" si="3"/>
        <v/>
      </c>
    </row>
    <row r="57" spans="2:8" ht="12.95" customHeight="1" x14ac:dyDescent="0.2">
      <c r="B57" s="73" t="str">
        <f>IF('Data input'!D42="","",'Data input'!C42)</f>
        <v/>
      </c>
      <c r="C57" s="81" t="str">
        <f>IF('Data input'!E42="","",IF(Condition="Drained",H38*D38*Ab,D38*'Data input'!E42*Ab))</f>
        <v/>
      </c>
      <c r="D57" s="82" t="str">
        <f t="shared" si="0"/>
        <v/>
      </c>
      <c r="E57" s="83" t="str">
        <f>IF('Data input'!D42="","",IF(Condition="Drained",E38*G38*TAN(RADIANS(F38))*As,E38*'Data input'!D42*As))</f>
        <v/>
      </c>
      <c r="F57" s="82" t="str">
        <f t="shared" si="1"/>
        <v/>
      </c>
      <c r="G57" s="83" t="str">
        <f t="shared" si="2"/>
        <v/>
      </c>
      <c r="H57" s="84" t="str">
        <f t="shared" si="3"/>
        <v/>
      </c>
    </row>
    <row r="58" spans="2:8" ht="14.1" customHeight="1" x14ac:dyDescent="0.2">
      <c r="D58" s="3"/>
      <c r="E58" s="3"/>
    </row>
    <row r="59" spans="2:8" ht="14.1" customHeight="1" x14ac:dyDescent="0.2">
      <c r="C59" s="10" t="s">
        <v>120</v>
      </c>
      <c r="D59" s="3"/>
      <c r="E59" s="3"/>
    </row>
    <row r="60" spans="2:8" ht="14.1" customHeight="1" x14ac:dyDescent="0.2">
      <c r="C60" s="55"/>
      <c r="D60" s="3"/>
      <c r="E60" s="3"/>
    </row>
    <row r="61" spans="2:8" ht="14.1" customHeight="1" x14ac:dyDescent="0.2">
      <c r="D61" s="42" t="s">
        <v>70</v>
      </c>
      <c r="E61" s="3"/>
    </row>
    <row r="62" spans="2:8" ht="14.1" customHeight="1" x14ac:dyDescent="0.2">
      <c r="D62" s="42"/>
      <c r="E62" s="3"/>
    </row>
    <row r="63" spans="2:8" ht="14.1" customHeight="1" x14ac:dyDescent="0.2">
      <c r="D63" s="3" t="s">
        <v>71</v>
      </c>
      <c r="E63" s="3" t="s">
        <v>72</v>
      </c>
      <c r="F63" s="33">
        <f>AVERAGE(C48:C57)</f>
        <v>316.05403842817555</v>
      </c>
      <c r="G63" s="5" t="s">
        <v>25</v>
      </c>
    </row>
    <row r="64" spans="2:8" ht="14.1" customHeight="1" x14ac:dyDescent="0.2">
      <c r="D64" s="3" t="s">
        <v>75</v>
      </c>
      <c r="E64" s="3" t="s">
        <v>73</v>
      </c>
      <c r="F64" s="33">
        <f>AVERAGE(E48:E57)</f>
        <v>1039.0817701748242</v>
      </c>
      <c r="G64" s="5" t="s">
        <v>25</v>
      </c>
    </row>
    <row r="65" spans="4:8" ht="14.1" customHeight="1" x14ac:dyDescent="0.2">
      <c r="D65" s="3" t="s">
        <v>76</v>
      </c>
      <c r="E65" s="3" t="s">
        <v>74</v>
      </c>
      <c r="F65" s="33">
        <f>AVERAGE(G48:G57)</f>
        <v>1355.1358086029998</v>
      </c>
      <c r="G65" s="5" t="s">
        <v>25</v>
      </c>
    </row>
    <row r="66" spans="4:8" ht="14.1" customHeight="1" x14ac:dyDescent="0.2">
      <c r="D66" s="42"/>
      <c r="E66" s="3"/>
    </row>
    <row r="67" spans="4:8" ht="14.1" customHeight="1" x14ac:dyDescent="0.2">
      <c r="D67" s="42" t="s">
        <v>80</v>
      </c>
      <c r="E67" s="35"/>
      <c r="F67" s="33"/>
    </row>
    <row r="68" spans="4:8" ht="14.1" customHeight="1" x14ac:dyDescent="0.2">
      <c r="D68" s="42"/>
      <c r="E68" s="35"/>
      <c r="F68" s="33"/>
    </row>
    <row r="69" spans="4:8" ht="14.1" customHeight="1" x14ac:dyDescent="0.2">
      <c r="D69" s="3" t="s">
        <v>77</v>
      </c>
      <c r="E69" s="3" t="s">
        <v>81</v>
      </c>
      <c r="F69" s="33">
        <f>MIN(C48:C57)</f>
        <v>273.62486614603694</v>
      </c>
      <c r="G69" s="5" t="s">
        <v>25</v>
      </c>
    </row>
    <row r="70" spans="4:8" ht="14.1" customHeight="1" x14ac:dyDescent="0.2">
      <c r="D70" s="3" t="s">
        <v>78</v>
      </c>
      <c r="E70" s="3" t="s">
        <v>82</v>
      </c>
      <c r="F70" s="33">
        <f>MIN(E48:E57)</f>
        <v>954.41584816057912</v>
      </c>
      <c r="G70" s="5" t="s">
        <v>25</v>
      </c>
    </row>
    <row r="71" spans="4:8" ht="14.1" customHeight="1" x14ac:dyDescent="0.2">
      <c r="D71" s="3" t="s">
        <v>79</v>
      </c>
      <c r="E71" s="3" t="s">
        <v>83</v>
      </c>
      <c r="F71" s="33">
        <f>MIN(G48:G57)</f>
        <v>1228.0407143066161</v>
      </c>
      <c r="G71" s="5" t="s">
        <v>25</v>
      </c>
      <c r="H71" s="5"/>
    </row>
    <row r="72" spans="4:8" ht="14.1" customHeight="1" x14ac:dyDescent="0.2"/>
    <row r="73" spans="4:8" ht="14.1" customHeight="1" x14ac:dyDescent="0.2">
      <c r="D73" s="42" t="s">
        <v>89</v>
      </c>
    </row>
    <row r="74" spans="4:8" ht="14.1" customHeight="1" x14ac:dyDescent="0.2">
      <c r="D74" s="42"/>
    </row>
    <row r="75" spans="4:8" ht="14.1" customHeight="1" x14ac:dyDescent="0.2">
      <c r="D75" s="3" t="s">
        <v>87</v>
      </c>
      <c r="E75" s="3" t="s">
        <v>74</v>
      </c>
      <c r="F75" s="33">
        <f>Rcmean/_x3</f>
        <v>1034.4548157274808</v>
      </c>
      <c r="G75" s="5" t="s">
        <v>25</v>
      </c>
    </row>
    <row r="76" spans="4:8" ht="14.1" customHeight="1" x14ac:dyDescent="0.2">
      <c r="D76" s="3" t="s">
        <v>88</v>
      </c>
      <c r="E76" s="3" t="s">
        <v>83</v>
      </c>
      <c r="F76" s="33">
        <f>Rcmin/_x4</f>
        <v>1023.3672619221801</v>
      </c>
      <c r="G76" s="5" t="s">
        <v>25</v>
      </c>
    </row>
    <row r="77" spans="4:8" ht="14.1" customHeight="1" x14ac:dyDescent="0.2">
      <c r="D77" s="3" t="s">
        <v>84</v>
      </c>
      <c r="E77" s="3" t="s">
        <v>90</v>
      </c>
      <c r="F77" s="33">
        <f>MIN(F75:F76)</f>
        <v>1023.3672619221801</v>
      </c>
      <c r="G77" s="5" t="s">
        <v>25</v>
      </c>
    </row>
    <row r="78" spans="4:8" ht="14.1" customHeight="1" x14ac:dyDescent="0.2"/>
    <row r="79" spans="4:8" ht="14.1" customHeight="1" x14ac:dyDescent="0.2">
      <c r="D79" s="42" t="s">
        <v>91</v>
      </c>
    </row>
    <row r="80" spans="4:8" ht="14.1" customHeight="1" x14ac:dyDescent="0.2">
      <c r="D80" s="42"/>
    </row>
    <row r="81" spans="4:7" ht="14.1" customHeight="1" x14ac:dyDescent="0.2">
      <c r="D81" s="3" t="s">
        <v>61</v>
      </c>
      <c r="E81" s="3" t="s">
        <v>92</v>
      </c>
      <c r="F81" s="33">
        <f>IF(Rc_k=RcmeanF,Rbmean/_x3,Rbmin/_x4)</f>
        <v>228.02072178836411</v>
      </c>
      <c r="G81" s="5" t="s">
        <v>25</v>
      </c>
    </row>
    <row r="82" spans="4:7" ht="14.1" customHeight="1" x14ac:dyDescent="0.2">
      <c r="D82" s="3" t="s">
        <v>62</v>
      </c>
      <c r="E82" s="3" t="s">
        <v>93</v>
      </c>
      <c r="F82" s="33">
        <f>IF(Rc_k=RcminF,Rsmin/_x4,Rsmean/_x3)</f>
        <v>795.34654013381601</v>
      </c>
      <c r="G82" s="5" t="s">
        <v>25</v>
      </c>
    </row>
    <row r="83" spans="4:7" ht="14.1" customHeight="1" x14ac:dyDescent="0.2"/>
    <row r="84" spans="4:7" ht="14.1" customHeight="1" x14ac:dyDescent="0.2">
      <c r="D84" s="42" t="s">
        <v>95</v>
      </c>
    </row>
    <row r="85" spans="4:7" ht="14.1" customHeight="1" x14ac:dyDescent="0.2">
      <c r="D85" s="42"/>
    </row>
    <row r="86" spans="4:7" ht="14.1" customHeight="1" x14ac:dyDescent="0.2">
      <c r="D86" s="3" t="s">
        <v>94</v>
      </c>
      <c r="E86" s="3" t="s">
        <v>98</v>
      </c>
      <c r="F86" s="33">
        <f>Rb_k/gammaB+Rs_k/gammaS</f>
        <v>1023.3672619221801</v>
      </c>
      <c r="G86" s="5" t="s">
        <v>25</v>
      </c>
    </row>
    <row r="87" spans="4:7" ht="14.1" customHeight="1" x14ac:dyDescent="0.2">
      <c r="D87" s="3" t="s">
        <v>96</v>
      </c>
      <c r="E87" s="3" t="s">
        <v>97</v>
      </c>
      <c r="F87" s="9">
        <f>gammaG*Vp+gammaQ*Vv</f>
        <v>900</v>
      </c>
      <c r="G87" s="5" t="s">
        <v>25</v>
      </c>
    </row>
    <row r="88" spans="4:7" ht="14.1" customHeight="1" x14ac:dyDescent="0.2">
      <c r="D88" s="3" t="s">
        <v>32</v>
      </c>
      <c r="E88" s="35" t="s">
        <v>28</v>
      </c>
      <c r="F88" s="33">
        <f>Rd/F87</f>
        <v>1.1370747354690889</v>
      </c>
    </row>
    <row r="89" spans="4:7" ht="14.1" customHeight="1" x14ac:dyDescent="0.2">
      <c r="D89" s="3" t="s">
        <v>29</v>
      </c>
      <c r="E89" s="35" t="s">
        <v>30</v>
      </c>
      <c r="F89" s="56">
        <f>F87/Rd</f>
        <v>0.87944966923168844</v>
      </c>
    </row>
    <row r="90" spans="4:7" ht="14.1" customHeight="1" x14ac:dyDescent="0.2">
      <c r="E90" s="9" t="str">
        <f>IF(F88&gt;1,"Safe: Adequate capacity.", "Not safe: Capacity is insufficient! Redesign required.")</f>
        <v>Safe: Adequate capacity.</v>
      </c>
    </row>
    <row r="91" spans="4:7" ht="14.1" customHeight="1" x14ac:dyDescent="0.2"/>
    <row r="92" spans="4:7" ht="12.95" customHeight="1" x14ac:dyDescent="0.2"/>
    <row r="93" spans="4:7" ht="12.95" customHeight="1" x14ac:dyDescent="0.2"/>
    <row r="94" spans="4:7" ht="12.95" customHeight="1" x14ac:dyDescent="0.2"/>
    <row r="95" spans="4:7" ht="12.95" customHeight="1" x14ac:dyDescent="0.2"/>
    <row r="96" spans="4:7" ht="12.95" customHeight="1" x14ac:dyDescent="0.2"/>
    <row r="97" ht="12.95" customHeight="1" x14ac:dyDescent="0.2"/>
    <row r="98" ht="12.95" customHeight="1" x14ac:dyDescent="0.2"/>
    <row r="99" ht="12.95" customHeight="1" x14ac:dyDescent="0.2"/>
    <row r="100" ht="12.95" customHeight="1" x14ac:dyDescent="0.2"/>
    <row r="101" ht="12.95" customHeight="1" x14ac:dyDescent="0.2"/>
    <row r="102" ht="12.95" customHeight="1" x14ac:dyDescent="0.2"/>
    <row r="103" ht="12.95" customHeight="1" x14ac:dyDescent="0.2"/>
    <row r="104" ht="12.95" customHeight="1" x14ac:dyDescent="0.2"/>
    <row r="105" ht="12.95" customHeight="1" x14ac:dyDescent="0.2"/>
    <row r="106" ht="12.95" customHeight="1" x14ac:dyDescent="0.2"/>
    <row r="107" ht="12.95" customHeight="1" x14ac:dyDescent="0.2"/>
    <row r="108" ht="12.95" customHeight="1" x14ac:dyDescent="0.2"/>
    <row r="109" ht="12.95" customHeight="1" x14ac:dyDescent="0.2"/>
    <row r="110" ht="12.95" customHeight="1" x14ac:dyDescent="0.2"/>
    <row r="111" ht="12.95" customHeight="1" x14ac:dyDescent="0.2"/>
  </sheetData>
  <sortState xmlns:xlrd2="http://schemas.microsoft.com/office/spreadsheetml/2017/richdata2" ref="R1:S103">
    <sortCondition ref="S1:S103"/>
  </sortState>
  <mergeCells count="11">
    <mergeCell ref="G27:H27"/>
    <mergeCell ref="B7:J7"/>
    <mergeCell ref="A1:C3"/>
    <mergeCell ref="D1:I1"/>
    <mergeCell ref="J1:K1"/>
    <mergeCell ref="D3:I3"/>
    <mergeCell ref="J3:K3"/>
    <mergeCell ref="A4:C6"/>
    <mergeCell ref="D5:E5"/>
    <mergeCell ref="F5:G5"/>
    <mergeCell ref="I5:J5"/>
  </mergeCells>
  <phoneticPr fontId="32" type="noConversion"/>
  <conditionalFormatting sqref="E90">
    <cfRule type="containsText" dxfId="1" priority="1" operator="containsText" text="Not Safe:">
      <formula>NOT(ISERROR(SEARCH("Not Safe:",E90)))</formula>
    </cfRule>
  </conditionalFormatting>
  <pageMargins left="0.35" right="0.25" top="0.75" bottom="0.75" header="0.3" footer="0.3"/>
  <pageSetup paperSize="9" orientation="portrait" horizontalDpi="300" verticalDpi="300" r:id="rId1"/>
  <ignoredErrors>
    <ignoredError sqref="E48:E57 G48:G57"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15D1E-A0D3-44E5-B7D0-FACFF08115F7}">
  <dimension ref="A1:Q111"/>
  <sheetViews>
    <sheetView zoomScale="75" zoomScaleNormal="75" zoomScaleSheetLayoutView="75" workbookViewId="0">
      <selection activeCell="L16" sqref="L16"/>
    </sheetView>
  </sheetViews>
  <sheetFormatPr defaultColWidth="8.85546875" defaultRowHeight="12.75" x14ac:dyDescent="0.2"/>
  <cols>
    <col min="1" max="11" width="9" style="9" customWidth="1"/>
    <col min="12" max="14" width="8.85546875" style="9" customWidth="1"/>
    <col min="15" max="17" width="8.85546875" style="9"/>
    <col min="18" max="18" width="25.28515625" style="9" customWidth="1"/>
    <col min="19" max="19" width="17.28515625" style="9" customWidth="1"/>
    <col min="20" max="16384" width="8.85546875" style="9"/>
  </cols>
  <sheetData>
    <row r="1" spans="1:15" ht="15" customHeight="1" x14ac:dyDescent="0.2">
      <c r="A1" s="123"/>
      <c r="B1" s="123"/>
      <c r="C1" s="103"/>
      <c r="D1" s="114" t="s">
        <v>2</v>
      </c>
      <c r="E1" s="115"/>
      <c r="F1" s="115"/>
      <c r="G1" s="115"/>
      <c r="H1" s="115"/>
      <c r="I1" s="116"/>
      <c r="J1" s="114" t="s">
        <v>3</v>
      </c>
      <c r="K1" s="116"/>
      <c r="O1" s="30"/>
    </row>
    <row r="2" spans="1:15" ht="15" customHeight="1" x14ac:dyDescent="0.2">
      <c r="A2" s="123"/>
      <c r="B2" s="123"/>
      <c r="C2" s="103"/>
      <c r="D2" s="16" t="str">
        <f>'Data input'!$D$2</f>
        <v>Example Project</v>
      </c>
      <c r="E2" s="17"/>
      <c r="F2" s="17"/>
      <c r="G2" s="17"/>
      <c r="H2" s="17"/>
      <c r="I2" s="18"/>
      <c r="J2" s="16" t="str">
        <f>'Data input'!$J$2</f>
        <v>Eample Job No.</v>
      </c>
      <c r="K2" s="18"/>
      <c r="O2" s="30"/>
    </row>
    <row r="3" spans="1:15" ht="15" customHeight="1" x14ac:dyDescent="0.2">
      <c r="A3" s="123"/>
      <c r="B3" s="123"/>
      <c r="C3" s="103"/>
      <c r="D3" s="114" t="s">
        <v>6</v>
      </c>
      <c r="E3" s="115"/>
      <c r="F3" s="115"/>
      <c r="G3" s="115"/>
      <c r="H3" s="115"/>
      <c r="I3" s="116"/>
      <c r="J3" s="117" t="s">
        <v>7</v>
      </c>
      <c r="K3" s="118"/>
    </row>
    <row r="4" spans="1:15" ht="15" customHeight="1" x14ac:dyDescent="0.2">
      <c r="A4" s="124" t="s">
        <v>8</v>
      </c>
      <c r="B4" s="125"/>
      <c r="C4" s="126"/>
      <c r="D4" s="16" t="str">
        <f>'Data input'!$D$4</f>
        <v>Example Structure</v>
      </c>
      <c r="E4" s="17"/>
      <c r="F4" s="17"/>
      <c r="G4" s="17"/>
      <c r="H4" s="17"/>
      <c r="I4" s="18"/>
      <c r="J4" s="16"/>
      <c r="K4" s="18"/>
    </row>
    <row r="5" spans="1:15" ht="15" customHeight="1" x14ac:dyDescent="0.2">
      <c r="A5" s="125"/>
      <c r="B5" s="125"/>
      <c r="C5" s="126"/>
      <c r="D5" s="114" t="s">
        <v>10</v>
      </c>
      <c r="E5" s="116"/>
      <c r="F5" s="114" t="s">
        <v>11</v>
      </c>
      <c r="G5" s="116"/>
      <c r="H5" s="1" t="s">
        <v>12</v>
      </c>
      <c r="I5" s="117" t="s">
        <v>13</v>
      </c>
      <c r="J5" s="118"/>
      <c r="K5" s="2" t="s">
        <v>12</v>
      </c>
    </row>
    <row r="6" spans="1:15" ht="15" customHeight="1" x14ac:dyDescent="0.2">
      <c r="A6" s="125"/>
      <c r="B6" s="125"/>
      <c r="C6" s="126"/>
      <c r="D6" s="19" t="str">
        <f>'Data input'!$D$6</f>
        <v>Example Client</v>
      </c>
      <c r="E6" s="18"/>
      <c r="F6" s="19" t="str">
        <f>'Data input'!$F$6</f>
        <v>Example Engineer</v>
      </c>
      <c r="G6" s="18"/>
      <c r="H6" s="20">
        <f ca="1">TODAY()</f>
        <v>45964</v>
      </c>
      <c r="I6" s="19" t="str">
        <f>'Data input'!$I$6</f>
        <v>Example Checker</v>
      </c>
      <c r="J6" s="18"/>
      <c r="K6" s="20">
        <f ca="1">TODAY()</f>
        <v>45964</v>
      </c>
    </row>
    <row r="7" spans="1:15" ht="12.75" customHeight="1" x14ac:dyDescent="0.2">
      <c r="A7" s="21" t="s">
        <v>17</v>
      </c>
      <c r="B7" s="110" t="s">
        <v>18</v>
      </c>
      <c r="C7" s="110"/>
      <c r="D7" s="111"/>
      <c r="E7" s="111"/>
      <c r="F7" s="111"/>
      <c r="G7" s="111"/>
      <c r="H7" s="111"/>
      <c r="I7" s="111"/>
      <c r="J7" s="111"/>
      <c r="K7" s="22" t="s">
        <v>19</v>
      </c>
    </row>
    <row r="8" spans="1:15" ht="12.95" customHeight="1" x14ac:dyDescent="0.2">
      <c r="F8" s="41"/>
    </row>
    <row r="9" spans="1:15" ht="12.95" customHeight="1" x14ac:dyDescent="0.2">
      <c r="F9" s="41" t="str">
        <f>CONCATENATE("Concrete ",Type," Pile")</f>
        <v>Concrete Driven Pile</v>
      </c>
    </row>
    <row r="10" spans="1:15" ht="12.95" customHeight="1" x14ac:dyDescent="0.2">
      <c r="B10" s="8" t="s">
        <v>26</v>
      </c>
      <c r="F10" s="41"/>
    </row>
    <row r="11" spans="1:15" ht="12.95" customHeight="1" x14ac:dyDescent="0.2">
      <c r="B11" s="8" t="s">
        <v>103</v>
      </c>
      <c r="L11"/>
    </row>
    <row r="12" spans="1:15" ht="12.95" customHeight="1" x14ac:dyDescent="0.2">
      <c r="B12" s="8"/>
    </row>
    <row r="13" spans="1:15" ht="12.95" customHeight="1" x14ac:dyDescent="0.2">
      <c r="B13" s="8"/>
      <c r="C13" s="10" t="s">
        <v>20</v>
      </c>
    </row>
    <row r="14" spans="1:15" ht="12.95" customHeight="1" x14ac:dyDescent="0.2">
      <c r="B14" s="8"/>
      <c r="C14" s="31"/>
      <c r="D14" s="42" t="s">
        <v>59</v>
      </c>
    </row>
    <row r="15" spans="1:15" ht="12.95" customHeight="1" x14ac:dyDescent="0.2">
      <c r="B15" s="8"/>
      <c r="C15" s="13"/>
      <c r="D15" s="14" t="s">
        <v>21</v>
      </c>
      <c r="E15" s="14" t="s">
        <v>22</v>
      </c>
      <c r="F15" s="32">
        <v>1</v>
      </c>
    </row>
    <row r="16" spans="1:15" ht="12.95" customHeight="1" x14ac:dyDescent="0.2">
      <c r="B16" s="8"/>
      <c r="C16" s="13"/>
      <c r="D16" s="14" t="s">
        <v>23</v>
      </c>
      <c r="E16" s="14" t="s">
        <v>24</v>
      </c>
      <c r="F16" s="32">
        <v>1.3</v>
      </c>
    </row>
    <row r="17" spans="2:17" ht="12.95" customHeight="1" x14ac:dyDescent="0.2">
      <c r="B17" s="8"/>
      <c r="C17" s="13"/>
      <c r="D17" s="14"/>
      <c r="E17" s="14"/>
      <c r="F17"/>
    </row>
    <row r="18" spans="2:17" ht="12.95" customHeight="1" x14ac:dyDescent="0.2">
      <c r="B18" s="8"/>
      <c r="C18" s="31"/>
      <c r="D18" s="42" t="s">
        <v>58</v>
      </c>
    </row>
    <row r="19" spans="2:17" ht="12.95" customHeight="1" x14ac:dyDescent="0.2">
      <c r="B19" s="8"/>
      <c r="C19" s="31"/>
      <c r="D19" s="3" t="s">
        <v>61</v>
      </c>
      <c r="E19" s="36" t="s">
        <v>107</v>
      </c>
      <c r="F19" s="66">
        <f>IF(Type="Bored",'Data input'!Z6,'Data input'!Y6)</f>
        <v>1.3</v>
      </c>
    </row>
    <row r="20" spans="2:17" ht="12.95" customHeight="1" x14ac:dyDescent="0.2">
      <c r="B20" s="8"/>
      <c r="C20" s="31"/>
      <c r="D20" s="3" t="s">
        <v>62</v>
      </c>
      <c r="E20" s="36" t="s">
        <v>60</v>
      </c>
      <c r="F20" s="66">
        <f>IF(Type="Bored",'Data input'!Z7,'Data input'!Y7)</f>
        <v>1.3</v>
      </c>
    </row>
    <row r="21" spans="2:17" ht="12.95" customHeight="1" x14ac:dyDescent="0.2">
      <c r="B21" s="8"/>
      <c r="C21" s="31"/>
      <c r="D21" s="3"/>
      <c r="E21" s="36"/>
      <c r="F21"/>
    </row>
    <row r="22" spans="2:17" ht="12.95" customHeight="1" x14ac:dyDescent="0.2">
      <c r="C22" s="10" t="s">
        <v>67</v>
      </c>
      <c r="E22" s="3"/>
      <c r="F22" s="12"/>
      <c r="J22" s="25"/>
    </row>
    <row r="23" spans="2:17" ht="12.95" customHeight="1" x14ac:dyDescent="0.3">
      <c r="D23" s="3" t="s">
        <v>68</v>
      </c>
      <c r="E23" s="35" t="s">
        <v>99</v>
      </c>
      <c r="F23" s="33">
        <f>(PI()*D^2)/4</f>
        <v>0.38484510006474959</v>
      </c>
      <c r="G23" s="9" t="s">
        <v>31</v>
      </c>
      <c r="K23" s="25"/>
    </row>
    <row r="24" spans="2:17" ht="12.95" customHeight="1" x14ac:dyDescent="0.3">
      <c r="D24" s="3" t="s">
        <v>69</v>
      </c>
      <c r="E24" s="35" t="s">
        <v>100</v>
      </c>
      <c r="F24" s="33">
        <f>PI()*D*L</f>
        <v>21.991148575128552</v>
      </c>
      <c r="G24" s="9" t="s">
        <v>31</v>
      </c>
      <c r="K24" s="25"/>
    </row>
    <row r="25" spans="2:17" ht="12.95" customHeight="1" x14ac:dyDescent="0.2">
      <c r="D25" s="3"/>
      <c r="E25" s="35"/>
      <c r="F25" s="33"/>
      <c r="I25" s="3"/>
      <c r="K25" s="25"/>
    </row>
    <row r="26" spans="2:17" ht="12.95" customHeight="1" x14ac:dyDescent="0.2">
      <c r="C26" s="10" t="s">
        <v>111</v>
      </c>
      <c r="D26" s="3"/>
      <c r="E26" s="35"/>
      <c r="F26" s="33"/>
      <c r="I26" s="3"/>
      <c r="K26" s="25"/>
    </row>
    <row r="27" spans="2:17" ht="12.95" customHeight="1" x14ac:dyDescent="0.2">
      <c r="C27" s="10"/>
      <c r="D27" s="3"/>
      <c r="E27" s="35"/>
      <c r="F27" s="33"/>
      <c r="G27" s="122" t="str">
        <f>IF(Condition="Drained","Effective Stress (kPa)","")</f>
        <v/>
      </c>
      <c r="H27" s="122"/>
      <c r="I27" s="3"/>
      <c r="K27" s="25"/>
    </row>
    <row r="28" spans="2:17" ht="12.95" customHeight="1" x14ac:dyDescent="0.2">
      <c r="C28" s="70" t="s">
        <v>119</v>
      </c>
      <c r="D28" s="90" t="str">
        <f>IF(Condition="Drained","Nq","Nc")</f>
        <v>Nc</v>
      </c>
      <c r="E28" s="85" t="str">
        <f>IF(Condition="Drained","Ks","α")</f>
        <v>α</v>
      </c>
      <c r="F28" s="85" t="str">
        <f>IF(Condition="Drained","δ (°)","")</f>
        <v/>
      </c>
      <c r="G28" s="85" t="str">
        <f>IF(Condition="Drained","σ'v (Shaft)","")</f>
        <v/>
      </c>
      <c r="H28" s="86" t="str">
        <f>IF(Condition="Drained","σ'v (Base)","")</f>
        <v/>
      </c>
      <c r="K28" s="25"/>
    </row>
    <row r="29" spans="2:17" ht="12.95" customHeight="1" x14ac:dyDescent="0.2">
      <c r="B29" s="3"/>
      <c r="C29" s="71" t="str">
        <f>IF('Data input'!D33="","",'Data input'!C33)</f>
        <v>BH-01 =</v>
      </c>
      <c r="D29" s="87">
        <f>IF(C29="","",IF(Condition="Drained",0.176*EXP(0.177*'Data input'!E33),9))</f>
        <v>9</v>
      </c>
      <c r="E29" s="87">
        <f>IF(C29="","",IF(Condition="Drained",IF('Data input'!D33&gt;34,2,1),IF('Data input'!D33&gt;50,0.7,1)))</f>
        <v>0.7</v>
      </c>
      <c r="F29" s="87" t="str">
        <f>IF(AND(Condition="Drained",ISNUMBER('Data input'!D33)),0.75*'Data input'!D33,"")</f>
        <v/>
      </c>
      <c r="G29" s="87" t="str">
        <f>IF(AND(Condition="Drained",ISNUMBER('Data input'!G33)),0.5*(IF(L&lt;=20*D,IF(L&gt;GWT,L*'Data input'!G33-(L-GWT)*9.81,L*'Data input'!G33),IF(20*D&gt;GWT,20*D*'Data input'!G33-(20*D-GWT)*9.81,20*D*'Data input'!G33))),"")</f>
        <v/>
      </c>
      <c r="H29" s="88" t="str">
        <f>IF(AND(Condition="Drained",ISNUMBER('Data input'!G33)),IF(L&lt;=20*D,IF(L&gt;GWT,L*'Data input'!H33-(L-GWT)*9.81,L*'Data input'!H33),IF(20*D&gt;GWT,20*D*'Data input'!H33-(20*D-GWT)*9.81,20*D*'Data input'!H33)),"")</f>
        <v/>
      </c>
      <c r="I29" s="3"/>
      <c r="K29" s="25"/>
      <c r="P29" s="7"/>
      <c r="Q29" s="7"/>
    </row>
    <row r="30" spans="2:17" ht="12.95" customHeight="1" x14ac:dyDescent="0.2">
      <c r="B30" s="3"/>
      <c r="C30" s="71" t="str">
        <f>IF('Data input'!D34="","",'Data input'!C34)</f>
        <v>BH-02 =</v>
      </c>
      <c r="D30" s="87">
        <f>IF(C30="","",IF(Condition="Drained",0.176*EXP(0.177*'Data input'!E34),9))</f>
        <v>9</v>
      </c>
      <c r="E30" s="87">
        <f>IF(C30="","",IF(Condition="Drained",IF('Data input'!D34&gt;34,2,1),IF('Data input'!D34&gt;50,0.7,1)))</f>
        <v>0.7</v>
      </c>
      <c r="F30" s="87" t="str">
        <f>IF(AND(Condition="Drained",ISNUMBER('Data input'!D34)),0.75*'Data input'!D34,"")</f>
        <v/>
      </c>
      <c r="G30" s="87" t="str">
        <f>IF(AND(Condition="Drained",ISNUMBER('Data input'!G34)),0.5*(IF(L&lt;=20*D,IF(L&gt;GWT,L*'Data input'!G34-(L-GWT)*9.81,L*'Data input'!G34),IF(20*D&gt;GWT,20*D*'Data input'!G34-(20*D-GWT)*9.81,20*D*'Data input'!G34))),"")</f>
        <v/>
      </c>
      <c r="H30" s="88" t="str">
        <f>IF(AND(Condition="Drained",ISNUMBER('Data input'!G34)),IF(L&lt;=20*D,IF(L&gt;GWT,L*'Data input'!H34-(L-GWT)*9.81,L*'Data input'!H34),IF(20*D&gt;GWT,20*D*'Data input'!H34-(20*D-GWT)*9.81,20*D*'Data input'!H34)),"")</f>
        <v/>
      </c>
      <c r="I30" s="3"/>
      <c r="K30" s="25"/>
      <c r="P30" s="7"/>
      <c r="Q30" s="7"/>
    </row>
    <row r="31" spans="2:17" ht="12.95" customHeight="1" x14ac:dyDescent="0.2">
      <c r="B31" s="3"/>
      <c r="C31" s="71" t="str">
        <f>IF('Data input'!D35="","",'Data input'!C35)</f>
        <v>BH-03 =</v>
      </c>
      <c r="D31" s="87">
        <f>IF(C31="","",IF(Condition="Drained",0.176*EXP(0.177*'Data input'!E35),9))</f>
        <v>9</v>
      </c>
      <c r="E31" s="87">
        <f>IF(C31="","",IF(Condition="Drained",IF('Data input'!D35&gt;34,2,1),IF('Data input'!D35&gt;50,0.7,1)))</f>
        <v>0.7</v>
      </c>
      <c r="F31" s="87" t="str">
        <f>IF(AND(Condition="Drained",ISNUMBER('Data input'!D35)),0.75*'Data input'!D35,"")</f>
        <v/>
      </c>
      <c r="G31" s="87" t="str">
        <f>IF(AND(Condition="Drained",ISNUMBER('Data input'!G35)),0.5*(IF(L&lt;=20*D,IF(L&gt;GWT,L*'Data input'!G35-(L-GWT)*9.81,L*'Data input'!G35),IF(20*D&gt;GWT,20*D*'Data input'!G35-(20*D-GWT)*9.81,20*D*'Data input'!G35))),"")</f>
        <v/>
      </c>
      <c r="H31" s="88" t="str">
        <f>IF(AND(Condition="Drained",ISNUMBER('Data input'!G35)),IF(L&lt;=20*D,IF(L&gt;GWT,L*'Data input'!H35-(L-GWT)*9.81,L*'Data input'!H35),IF(20*D&gt;GWT,20*D*'Data input'!H35-(20*D-GWT)*9.81,20*D*'Data input'!H35)),"")</f>
        <v/>
      </c>
      <c r="I31" s="3"/>
      <c r="K31" s="25"/>
      <c r="P31" s="7"/>
      <c r="Q31" s="7"/>
    </row>
    <row r="32" spans="2:17" ht="12.95" customHeight="1" x14ac:dyDescent="0.2">
      <c r="B32" s="3"/>
      <c r="C32" s="71" t="str">
        <f>IF('Data input'!D36="","",'Data input'!C36)</f>
        <v>BH-04 =</v>
      </c>
      <c r="D32" s="87">
        <f>IF(C32="","",IF(Condition="Drained",0.176*EXP(0.177*'Data input'!E36),9))</f>
        <v>9</v>
      </c>
      <c r="E32" s="87">
        <f>IF(C32="","",IF(Condition="Drained",IF('Data input'!D36&gt;34,2,1),IF('Data input'!D36&gt;50,0.7,1)))</f>
        <v>0.7</v>
      </c>
      <c r="F32" s="87" t="str">
        <f>IF(AND(Condition="Drained",ISNUMBER('Data input'!D36)),0.75*'Data input'!D36,"")</f>
        <v/>
      </c>
      <c r="G32" s="87" t="str">
        <f>IF(AND(Condition="Drained",ISNUMBER('Data input'!G36)),0.5*(IF(L&lt;=20*D,IF(L&gt;GWT,L*'Data input'!G36-(L-GWT)*9.81,L*'Data input'!G36),IF(20*D&gt;GWT,20*D*'Data input'!G36-(20*D-GWT)*9.81,20*D*'Data input'!G36))),"")</f>
        <v/>
      </c>
      <c r="H32" s="88" t="str">
        <f>IF(AND(Condition="Drained",ISNUMBER('Data input'!G36)),IF(L&lt;=20*D,IF(L&gt;GWT,L*'Data input'!H36-(L-GWT)*9.81,L*'Data input'!H36),IF(20*D&gt;GWT,20*D*'Data input'!H36-(20*D-GWT)*9.81,20*D*'Data input'!H36)),"")</f>
        <v/>
      </c>
      <c r="I32" s="3"/>
      <c r="K32" s="25"/>
      <c r="P32" s="7"/>
      <c r="Q32" s="7"/>
    </row>
    <row r="33" spans="2:17" ht="12.95" customHeight="1" x14ac:dyDescent="0.2">
      <c r="B33" s="3" t="str">
        <f>IF('Data input'!D37="","",'Data input'!C37)</f>
        <v/>
      </c>
      <c r="C33" s="71" t="str">
        <f>IF('Data input'!D37="","",'Data input'!C37)</f>
        <v/>
      </c>
      <c r="D33" s="87" t="str">
        <f>IF(C33="","",IF(Condition="Drained",0.176*EXP(0.177*'Data input'!E37),9))</f>
        <v/>
      </c>
      <c r="E33" s="87" t="str">
        <f>IF(C33="","",IF(Condition="Drained",IF('Data input'!D37&gt;34,2,1),IF('Data input'!D37&gt;50,0.7,1)))</f>
        <v/>
      </c>
      <c r="F33" s="87" t="str">
        <f>IF(AND(Condition="Drained",ISNUMBER('Data input'!D37)),0.75*'Data input'!D37,"")</f>
        <v/>
      </c>
      <c r="G33" s="87" t="str">
        <f>IF(AND(Condition="Drained",ISNUMBER('Data input'!G37)),0.5*(IF(L&lt;=20*D,IF(L&gt;GWT,L*'Data input'!G37-(L-GWT)*9.81,L*'Data input'!G37),IF(20*D&gt;GWT,20*D*'Data input'!G37-(20*D-GWT)*9.81,20*D*'Data input'!G37))),"")</f>
        <v/>
      </c>
      <c r="H33" s="88" t="str">
        <f>IF(AND(Condition="Drained",ISNUMBER('Data input'!G37)),IF(L&lt;=20*D,IF(L&gt;GWT,L*'Data input'!H37-(L-GWT)*9.81,L*'Data input'!H37),IF(20*D&gt;GWT,20*D*'Data input'!H37-(20*D-GWT)*9.81,20*D*'Data input'!H37)),"")</f>
        <v/>
      </c>
      <c r="I33" s="3"/>
      <c r="K33" s="25"/>
      <c r="P33" s="7"/>
      <c r="Q33" s="7"/>
    </row>
    <row r="34" spans="2:17" ht="12.95" customHeight="1" x14ac:dyDescent="0.2">
      <c r="B34" s="3" t="str">
        <f>IF('Data input'!D38="","",'Data input'!C38)</f>
        <v/>
      </c>
      <c r="C34" s="71" t="str">
        <f>IF('Data input'!D38="","",'Data input'!C38)</f>
        <v/>
      </c>
      <c r="D34" s="87" t="str">
        <f>IF(C34="","",IF(Condition="Drained",0.176*EXP(0.177*'Data input'!E38),9))</f>
        <v/>
      </c>
      <c r="E34" s="87" t="str">
        <f>IF(C34="","",IF(Condition="Drained",IF('Data input'!D38&gt;34,2,1),IF('Data input'!D38&gt;50,0.7,1)))</f>
        <v/>
      </c>
      <c r="F34" s="87" t="str">
        <f>IF(AND(Condition="Drained",ISNUMBER('Data input'!D38)),0.75*'Data input'!D38,"")</f>
        <v/>
      </c>
      <c r="G34" s="87" t="str">
        <f>IF(AND(Condition="Drained",ISNUMBER('Data input'!G38)),0.5*(IF(L&lt;=20*D,IF(L&gt;GWT,L*'Data input'!G38-(L-GWT)*9.81,L*'Data input'!G38),IF(20*D&gt;GWT,20*D*'Data input'!G38-(20*D-GWT)*9.81,20*D*'Data input'!G38))),"")</f>
        <v/>
      </c>
      <c r="H34" s="88" t="str">
        <f>IF(AND(Condition="Drained",ISNUMBER('Data input'!G38)),IF(L&lt;=20*D,IF(L&gt;GWT,L*'Data input'!H38-(L-GWT)*9.81,L*'Data input'!H38),IF(20*D&gt;GWT,20*D*'Data input'!H38-(20*D-GWT)*9.81,20*D*'Data input'!H38)),"")</f>
        <v/>
      </c>
      <c r="I34" s="3"/>
      <c r="K34" s="25"/>
      <c r="P34" s="7"/>
      <c r="Q34" s="7"/>
    </row>
    <row r="35" spans="2:17" ht="12.95" customHeight="1" x14ac:dyDescent="0.2">
      <c r="B35" s="3" t="str">
        <f>IF('Data input'!D39="","",'Data input'!C39)</f>
        <v/>
      </c>
      <c r="C35" s="71" t="str">
        <f>IF('Data input'!D39="","",'Data input'!C39)</f>
        <v/>
      </c>
      <c r="D35" s="87" t="str">
        <f>IF(C35="","",IF(Condition="Drained",0.176*EXP(0.177*'Data input'!E39),9))</f>
        <v/>
      </c>
      <c r="E35" s="87" t="str">
        <f>IF(C35="","",IF(Condition="Drained",IF('Data input'!D39&gt;34,2,1),IF('Data input'!D39&gt;50,0.7,1)))</f>
        <v/>
      </c>
      <c r="F35" s="87" t="str">
        <f>IF(AND(Condition="Drained",ISNUMBER('Data input'!D39)),0.75*'Data input'!D39,"")</f>
        <v/>
      </c>
      <c r="G35" s="87" t="str">
        <f>IF(AND(Condition="Drained",ISNUMBER('Data input'!G39)),0.5*(IF(L&lt;=20*D,IF(L&gt;GWT,L*'Data input'!G39-(L-GWT)*9.81,L*'Data input'!G39),IF(20*D&gt;GWT,20*D*'Data input'!G39-(20*D-GWT)*9.81,20*D*'Data input'!G39))),"")</f>
        <v/>
      </c>
      <c r="H35" s="88" t="str">
        <f>IF(AND(Condition="Drained",ISNUMBER('Data input'!G39)),IF(L&lt;=20*D,IF(L&gt;GWT,L*'Data input'!H39-(L-GWT)*9.81,L*'Data input'!H39),IF(20*D&gt;GWT,20*D*'Data input'!H39-(20*D-GWT)*9.81,20*D*'Data input'!H39)),"")</f>
        <v/>
      </c>
      <c r="I35" s="3"/>
      <c r="K35" s="25"/>
      <c r="P35" s="7"/>
      <c r="Q35" s="7"/>
    </row>
    <row r="36" spans="2:17" ht="12.95" customHeight="1" x14ac:dyDescent="0.2">
      <c r="B36" s="3" t="str">
        <f>IF('Data input'!D40="","",'Data input'!C40)</f>
        <v/>
      </c>
      <c r="C36" s="71" t="str">
        <f>IF('Data input'!D40="","",'Data input'!C40)</f>
        <v/>
      </c>
      <c r="D36" s="87" t="str">
        <f>IF(C36="","",IF(Condition="Drained",0.176*EXP(0.177*'Data input'!E40),9))</f>
        <v/>
      </c>
      <c r="E36" s="87" t="str">
        <f>IF(C36="","",IF(Condition="Drained",IF('Data input'!D40&gt;34,2,1),IF('Data input'!D40&gt;50,0.7,1)))</f>
        <v/>
      </c>
      <c r="F36" s="87" t="str">
        <f>IF(AND(Condition="Drained",ISNUMBER('Data input'!D40)),0.75*'Data input'!D40,"")</f>
        <v/>
      </c>
      <c r="G36" s="87" t="str">
        <f>IF(AND(Condition="Drained",ISNUMBER('Data input'!G40)),0.5*(IF(L&lt;=20*D,IF(L&gt;GWT,L*'Data input'!G40-(L-GWT)*9.81,L*'Data input'!G40),IF(20*D&gt;GWT,20*D*'Data input'!G40-(20*D-GWT)*9.81,20*D*'Data input'!G40))),"")</f>
        <v/>
      </c>
      <c r="H36" s="88" t="str">
        <f>IF(AND(Condition="Drained",ISNUMBER('Data input'!G40)),IF(L&lt;=20*D,IF(L&gt;GWT,L*'Data input'!H40-(L-GWT)*9.81,L*'Data input'!H40),IF(20*D&gt;GWT,20*D*'Data input'!H40-(20*D-GWT)*9.81,20*D*'Data input'!H40)),"")</f>
        <v/>
      </c>
      <c r="I36" s="3"/>
      <c r="K36" s="25"/>
      <c r="P36" s="7"/>
      <c r="Q36" s="7"/>
    </row>
    <row r="37" spans="2:17" ht="12.95" customHeight="1" x14ac:dyDescent="0.2">
      <c r="B37" s="3" t="str">
        <f>IF('Data input'!D41="","",'Data input'!C41)</f>
        <v/>
      </c>
      <c r="C37" s="71" t="str">
        <f>IF('Data input'!D41="","",'Data input'!C41)</f>
        <v/>
      </c>
      <c r="D37" s="87" t="str">
        <f>IF(C37="","",IF(Condition="Drained",0.176*EXP(0.177*'Data input'!E41),9))</f>
        <v/>
      </c>
      <c r="E37" s="87" t="str">
        <f>IF(C37="","",IF(Condition="Drained",IF('Data input'!D41&gt;34,2,1),IF('Data input'!D41&gt;50,0.7,1)))</f>
        <v/>
      </c>
      <c r="F37" s="87" t="str">
        <f>IF(AND(Condition="Drained",ISNUMBER('Data input'!D41)),0.75*'Data input'!D41,"")</f>
        <v/>
      </c>
      <c r="G37" s="87" t="str">
        <f>IF(AND(Condition="Drained",ISNUMBER('Data input'!G41)),0.5*(IF(L&lt;=20*D,IF(L&gt;GWT,L*'Data input'!G41-(L-GWT)*9.81,L*'Data input'!G41),IF(20*D&gt;GWT,20*D*'Data input'!G41-(20*D-GWT)*9.81,20*D*'Data input'!G41))),"")</f>
        <v/>
      </c>
      <c r="H37" s="88" t="str">
        <f>IF(AND(Condition="Drained",ISNUMBER('Data input'!G41)),IF(L&lt;=20*D,IF(L&gt;GWT,L*'Data input'!H41-(L-GWT)*9.81,L*'Data input'!H41),IF(20*D&gt;GWT,20*D*'Data input'!H41-(20*D-GWT)*9.81,20*D*'Data input'!H41)),"")</f>
        <v/>
      </c>
      <c r="I37" s="3"/>
      <c r="K37" s="25"/>
      <c r="P37" s="7"/>
      <c r="Q37" s="7"/>
    </row>
    <row r="38" spans="2:17" ht="12.95" customHeight="1" x14ac:dyDescent="0.2">
      <c r="B38" s="3" t="str">
        <f>IF('Data input'!D42="","",'Data input'!C42)</f>
        <v/>
      </c>
      <c r="C38" s="73" t="str">
        <f>IF('Data input'!D42="","",'Data input'!C42)</f>
        <v/>
      </c>
      <c r="D38" s="91" t="str">
        <f>IF(C38="","",IF(Condition="Drained",0.176*EXP(0.177*'Data input'!E42),9))</f>
        <v/>
      </c>
      <c r="E38" s="91" t="str">
        <f>IF(C38="","",IF(Condition="Drained",IF('Data input'!D42&gt;34,2,1),IF('Data input'!D42&gt;50,0.7,1)))</f>
        <v/>
      </c>
      <c r="F38" s="91" t="str">
        <f>IF(AND(Condition="Drained",ISNUMBER('Data input'!D42)),0.75*'Data input'!D42,"")</f>
        <v/>
      </c>
      <c r="G38" s="91" t="str">
        <f>IF(AND(Condition="Drained",ISNUMBER('Data input'!G42)),0.5*(IF(L&lt;=20*D,IF(L&gt;GWT,L*'Data input'!G42-(L-GWT)*9.81,L*'Data input'!G42),IF(20*D&gt;GWT,20*D*'Data input'!G42-(20*D-GWT)*9.81,20*D*'Data input'!G42))),"")</f>
        <v/>
      </c>
      <c r="H38" s="89" t="str">
        <f>IF(AND(Condition="Drained",ISNUMBER('Data input'!G42)),IF(L&lt;=20*D,IF(L&gt;GWT,L*'Data input'!H42-(L-GWT)*9.81,L*'Data input'!H42),IF(20*D&gt;GWT,20*D*'Data input'!H42-(20*D-GWT)*9.81,20*D*'Data input'!H42)),"")</f>
        <v/>
      </c>
      <c r="I38" s="3"/>
      <c r="K38" s="25"/>
      <c r="P38" s="7"/>
      <c r="Q38" s="7"/>
    </row>
    <row r="39" spans="2:17" ht="12.95" customHeight="1" x14ac:dyDescent="0.2">
      <c r="C39" s="10"/>
      <c r="D39" s="3"/>
      <c r="E39" s="35"/>
      <c r="F39" s="33"/>
      <c r="I39" s="3"/>
      <c r="K39" s="25"/>
      <c r="P39" s="7"/>
      <c r="Q39" s="7"/>
    </row>
    <row r="40" spans="2:17" ht="12.95" customHeight="1" x14ac:dyDescent="0.2">
      <c r="C40" s="10" t="s">
        <v>124</v>
      </c>
      <c r="D40" s="3"/>
      <c r="E40" s="67"/>
      <c r="F40" s="33"/>
      <c r="I40" s="3"/>
      <c r="K40" s="25"/>
      <c r="P40" s="7"/>
      <c r="Q40" s="7"/>
    </row>
    <row r="41" spans="2:17" ht="12.95" customHeight="1" x14ac:dyDescent="0.2">
      <c r="C41" s="31"/>
      <c r="D41" s="3" t="s">
        <v>63</v>
      </c>
      <c r="E41" s="35" t="s">
        <v>64</v>
      </c>
      <c r="F41" s="9">
        <f>COUNT('Data input'!D33:D42)</f>
        <v>4</v>
      </c>
      <c r="J41" s="25"/>
      <c r="P41" s="7"/>
      <c r="Q41" s="7"/>
    </row>
    <row r="42" spans="2:17" ht="12.95" customHeight="1" x14ac:dyDescent="0.25">
      <c r="D42" s="3" t="s">
        <v>65</v>
      </c>
      <c r="E42" s="68" t="s">
        <v>85</v>
      </c>
      <c r="F42" s="4">
        <f>HLOOKUP($F$41,'Data input'!$T$11:$AC$13,2,TRUE)</f>
        <v>1.31</v>
      </c>
      <c r="G42" s="5"/>
      <c r="I42" s="34"/>
      <c r="P42" s="7"/>
      <c r="Q42" s="7"/>
    </row>
    <row r="43" spans="2:17" ht="12.95" customHeight="1" x14ac:dyDescent="0.25">
      <c r="D43" s="3" t="s">
        <v>66</v>
      </c>
      <c r="E43" s="68" t="s">
        <v>86</v>
      </c>
      <c r="F43" s="4">
        <f>HLOOKUP($F$41,'Data input'!$T$11:$AC$13,3,TRUE)</f>
        <v>1.2</v>
      </c>
      <c r="G43" s="5"/>
      <c r="P43" s="7"/>
      <c r="Q43" s="7"/>
    </row>
    <row r="44" spans="2:17" ht="12.95" customHeight="1" x14ac:dyDescent="0.2">
      <c r="D44" s="14"/>
      <c r="E44" s="3"/>
      <c r="F44" s="4"/>
      <c r="G44" s="5"/>
      <c r="P44" s="7"/>
      <c r="Q44" s="7"/>
    </row>
    <row r="45" spans="2:17" ht="12.95" customHeight="1" x14ac:dyDescent="0.2">
      <c r="C45" s="10" t="s">
        <v>117</v>
      </c>
    </row>
    <row r="46" spans="2:17" ht="12.95" customHeight="1" x14ac:dyDescent="0.2">
      <c r="C46" s="55"/>
    </row>
    <row r="47" spans="2:17" ht="12.95" customHeight="1" x14ac:dyDescent="0.2">
      <c r="B47" s="42" t="s">
        <v>119</v>
      </c>
      <c r="C47" s="42" t="s">
        <v>116</v>
      </c>
      <c r="D47" s="5"/>
      <c r="E47" s="42" t="s">
        <v>62</v>
      </c>
      <c r="G47" s="42" t="s">
        <v>118</v>
      </c>
    </row>
    <row r="48" spans="2:17" ht="12.95" customHeight="1" x14ac:dyDescent="0.2">
      <c r="B48" s="70" t="str">
        <f>IF('Data input'!D33="","",'Data input'!C33)</f>
        <v>BH-01 =</v>
      </c>
      <c r="C48" s="74">
        <f>IF('Data input'!E33="","",IF(Condition="Drained",H29*D29*Ab,D29*'Data input'!E33*Ab))</f>
        <v>311.72453105244716</v>
      </c>
      <c r="D48" s="75" t="str">
        <f>IF(ISNUMBER(C48),"kN","")</f>
        <v>kN</v>
      </c>
      <c r="E48" s="76">
        <f>IF('Data input'!D33="","",IF(Condition="Drained",E29*G29*TAN(RADIANS(F29))*As,E29*'Data input'!D33*As))</f>
        <v>1000.5972601683491</v>
      </c>
      <c r="F48" s="75" t="str">
        <f>IF(ISNUMBER(E48),"kN","")</f>
        <v>kN</v>
      </c>
      <c r="G48" s="76">
        <f>IF(C48="","",C48+E48)</f>
        <v>1312.3217912207963</v>
      </c>
      <c r="H48" s="77" t="str">
        <f>IF(ISNUMBER(G48),"kN","")</f>
        <v>kN</v>
      </c>
    </row>
    <row r="49" spans="2:8" ht="12.95" customHeight="1" x14ac:dyDescent="0.2">
      <c r="B49" s="71" t="str">
        <f>IF('Data input'!D34="","",'Data input'!C34)</f>
        <v>BH-02 =</v>
      </c>
      <c r="C49" s="72">
        <f>IF('Data input'!E34="","",IF(Condition="Drained",H30*D30*Ab,D30*'Data input'!E34*Ab))</f>
        <v>273.62486614603694</v>
      </c>
      <c r="D49" s="78" t="str">
        <f t="shared" ref="D49:D57" si="0">IF(ISNUMBER(C49),"kN","")</f>
        <v>kN</v>
      </c>
      <c r="E49" s="79">
        <f>IF('Data input'!D34="","",IF(Condition="Drained",E30*G30*TAN(RADIANS(F30))*As,E30*'Data input'!D34*As))</f>
        <v>954.41584816057912</v>
      </c>
      <c r="F49" s="78" t="str">
        <f t="shared" ref="F49:F57" si="1">IF(ISNUMBER(E49),"kN","")</f>
        <v>kN</v>
      </c>
      <c r="G49" s="79">
        <f t="shared" ref="G49:G57" si="2">IF(C49="","",C49+E49)</f>
        <v>1228.0407143066161</v>
      </c>
      <c r="H49" s="80" t="str">
        <f t="shared" ref="H49:H57" si="3">IF(ISNUMBER(G49),"kN","")</f>
        <v>kN</v>
      </c>
    </row>
    <row r="50" spans="2:8" ht="12.95" customHeight="1" x14ac:dyDescent="0.2">
      <c r="B50" s="71" t="str">
        <f>IF('Data input'!D35="","",'Data input'!C35)</f>
        <v>BH-03 =</v>
      </c>
      <c r="C50" s="72">
        <f>IF('Data input'!E35="","",IF(Condition="Drained",H31*D31*Ab,D31*'Data input'!E35*Ab))</f>
        <v>332.50616645594363</v>
      </c>
      <c r="D50" s="78" t="str">
        <f t="shared" si="0"/>
        <v>kN</v>
      </c>
      <c r="E50" s="79">
        <f>IF('Data input'!D35="","",IF(Condition="Drained",E31*G31*TAN(RADIANS(F31))*As,E31*'Data input'!D35*As))</f>
        <v>1077.5662801812991</v>
      </c>
      <c r="F50" s="78" t="str">
        <f t="shared" si="1"/>
        <v>kN</v>
      </c>
      <c r="G50" s="79">
        <f t="shared" si="2"/>
        <v>1410.0724466372428</v>
      </c>
      <c r="H50" s="80" t="str">
        <f t="shared" si="3"/>
        <v>kN</v>
      </c>
    </row>
    <row r="51" spans="2:8" ht="12.95" customHeight="1" x14ac:dyDescent="0.2">
      <c r="B51" s="71" t="str">
        <f>IF('Data input'!D36="","",'Data input'!C36)</f>
        <v>BH-04 =</v>
      </c>
      <c r="C51" s="72">
        <f>IF('Data input'!E36="","",IF(Condition="Drained",H32*D32*Ab,D32*'Data input'!E36*Ab))</f>
        <v>346.36059005827462</v>
      </c>
      <c r="D51" s="78" t="str">
        <f t="shared" si="0"/>
        <v>kN</v>
      </c>
      <c r="E51" s="79">
        <f>IF('Data input'!D36="","",IF(Condition="Drained",E32*G32*TAN(RADIANS(F32))*As,E32*'Data input'!D36*As))</f>
        <v>1123.7476921890689</v>
      </c>
      <c r="F51" s="78" t="str">
        <f t="shared" si="1"/>
        <v>kN</v>
      </c>
      <c r="G51" s="79">
        <f t="shared" si="2"/>
        <v>1470.1082822473436</v>
      </c>
      <c r="H51" s="80" t="str">
        <f t="shared" si="3"/>
        <v>kN</v>
      </c>
    </row>
    <row r="52" spans="2:8" ht="12.95" customHeight="1" x14ac:dyDescent="0.2">
      <c r="B52" s="71" t="str">
        <f>IF('Data input'!D37="","",'Data input'!C37)</f>
        <v/>
      </c>
      <c r="C52" s="72" t="str">
        <f>IF('Data input'!E37="","",IF(Condition="Drained",H33*D33*Ab,D33*'Data input'!E37*Ab))</f>
        <v/>
      </c>
      <c r="D52" s="78" t="str">
        <f t="shared" si="0"/>
        <v/>
      </c>
      <c r="E52" s="79" t="str">
        <f>IF('Data input'!D37="","",IF(Condition="Drained",E33*G33*TAN(RADIANS(F33))*As,E33*'Data input'!D37*As))</f>
        <v/>
      </c>
      <c r="F52" s="78" t="str">
        <f t="shared" si="1"/>
        <v/>
      </c>
      <c r="G52" s="79" t="str">
        <f t="shared" si="2"/>
        <v/>
      </c>
      <c r="H52" s="80" t="str">
        <f t="shared" si="3"/>
        <v/>
      </c>
    </row>
    <row r="53" spans="2:8" ht="12.95" customHeight="1" x14ac:dyDescent="0.2">
      <c r="B53" s="71" t="str">
        <f>IF('Data input'!D38="","",'Data input'!C38)</f>
        <v/>
      </c>
      <c r="C53" s="72" t="str">
        <f>IF('Data input'!E38="","",IF(Condition="Drained",H34*D34*Ab,D34*'Data input'!E38*Ab))</f>
        <v/>
      </c>
      <c r="D53" s="78" t="str">
        <f t="shared" si="0"/>
        <v/>
      </c>
      <c r="E53" s="79" t="str">
        <f>IF('Data input'!D38="","",IF(Condition="Drained",E34*G34*TAN(RADIANS(F34))*As,E34*'Data input'!D38*As))</f>
        <v/>
      </c>
      <c r="F53" s="78" t="str">
        <f t="shared" si="1"/>
        <v/>
      </c>
      <c r="G53" s="79" t="str">
        <f t="shared" si="2"/>
        <v/>
      </c>
      <c r="H53" s="80" t="str">
        <f t="shared" si="3"/>
        <v/>
      </c>
    </row>
    <row r="54" spans="2:8" ht="12.95" customHeight="1" x14ac:dyDescent="0.2">
      <c r="B54" s="71" t="str">
        <f>IF('Data input'!D39="","",'Data input'!C39)</f>
        <v/>
      </c>
      <c r="C54" s="72" t="str">
        <f>IF('Data input'!E39="","",IF(Condition="Drained",H35*D35*Ab,D35*'Data input'!E39*Ab))</f>
        <v/>
      </c>
      <c r="D54" s="78" t="str">
        <f t="shared" si="0"/>
        <v/>
      </c>
      <c r="E54" s="79" t="str">
        <f>IF('Data input'!D39="","",IF(Condition="Drained",E35*G35*TAN(RADIANS(F35))*As,E35*'Data input'!D39*As))</f>
        <v/>
      </c>
      <c r="F54" s="78" t="str">
        <f t="shared" si="1"/>
        <v/>
      </c>
      <c r="G54" s="79" t="str">
        <f t="shared" si="2"/>
        <v/>
      </c>
      <c r="H54" s="80" t="str">
        <f t="shared" si="3"/>
        <v/>
      </c>
    </row>
    <row r="55" spans="2:8" ht="12.95" customHeight="1" x14ac:dyDescent="0.2">
      <c r="B55" s="71" t="str">
        <f>IF('Data input'!D40="","",'Data input'!C40)</f>
        <v/>
      </c>
      <c r="C55" s="72" t="str">
        <f>IF('Data input'!E40="","",IF(Condition="Drained",H36*D36*Ab,D36*'Data input'!E40*Ab))</f>
        <v/>
      </c>
      <c r="D55" s="78" t="str">
        <f t="shared" si="0"/>
        <v/>
      </c>
      <c r="E55" s="79" t="str">
        <f>IF('Data input'!D40="","",IF(Condition="Drained",E36*G36*TAN(RADIANS(F36))*As,E36*'Data input'!D40*As))</f>
        <v/>
      </c>
      <c r="F55" s="78" t="str">
        <f t="shared" si="1"/>
        <v/>
      </c>
      <c r="G55" s="79" t="str">
        <f t="shared" si="2"/>
        <v/>
      </c>
      <c r="H55" s="80" t="str">
        <f t="shared" si="3"/>
        <v/>
      </c>
    </row>
    <row r="56" spans="2:8" ht="12.95" customHeight="1" x14ac:dyDescent="0.2">
      <c r="B56" s="71" t="str">
        <f>IF('Data input'!D41="","",'Data input'!C41)</f>
        <v/>
      </c>
      <c r="C56" s="72" t="str">
        <f>IF('Data input'!E41="","",IF(Condition="Drained",H37*D37*Ab,D37*'Data input'!E41*Ab))</f>
        <v/>
      </c>
      <c r="D56" s="78" t="str">
        <f t="shared" si="0"/>
        <v/>
      </c>
      <c r="E56" s="79" t="str">
        <f>IF('Data input'!D41="","",IF(Condition="Drained",E37*G37*TAN(RADIANS(F37))*As,E37*'Data input'!D41*As))</f>
        <v/>
      </c>
      <c r="F56" s="78" t="str">
        <f t="shared" si="1"/>
        <v/>
      </c>
      <c r="G56" s="79" t="str">
        <f t="shared" si="2"/>
        <v/>
      </c>
      <c r="H56" s="80" t="str">
        <f t="shared" si="3"/>
        <v/>
      </c>
    </row>
    <row r="57" spans="2:8" ht="12.95" customHeight="1" x14ac:dyDescent="0.2">
      <c r="B57" s="73" t="str">
        <f>IF('Data input'!D42="","",'Data input'!C42)</f>
        <v/>
      </c>
      <c r="C57" s="81" t="str">
        <f>IF('Data input'!E42="","",IF(Condition="Drained",H38*D38*Ab,D38*'Data input'!E42*Ab))</f>
        <v/>
      </c>
      <c r="D57" s="82" t="str">
        <f t="shared" si="0"/>
        <v/>
      </c>
      <c r="E57" s="83" t="str">
        <f>IF('Data input'!D42="","",IF(Condition="Drained",E38*G38*TAN(RADIANS(F38))*As,E38*'Data input'!D42*As))</f>
        <v/>
      </c>
      <c r="F57" s="82" t="str">
        <f t="shared" si="1"/>
        <v/>
      </c>
      <c r="G57" s="83" t="str">
        <f t="shared" si="2"/>
        <v/>
      </c>
      <c r="H57" s="84" t="str">
        <f t="shared" si="3"/>
        <v/>
      </c>
    </row>
    <row r="58" spans="2:8" ht="14.1" customHeight="1" x14ac:dyDescent="0.2">
      <c r="D58" s="3"/>
      <c r="E58" s="3"/>
    </row>
    <row r="59" spans="2:8" ht="14.1" customHeight="1" x14ac:dyDescent="0.2">
      <c r="C59" s="10" t="s">
        <v>120</v>
      </c>
      <c r="D59" s="3"/>
      <c r="E59" s="3"/>
    </row>
    <row r="60" spans="2:8" ht="14.1" customHeight="1" x14ac:dyDescent="0.2">
      <c r="C60" s="55"/>
      <c r="D60" s="3"/>
      <c r="E60" s="3"/>
    </row>
    <row r="61" spans="2:8" ht="14.1" customHeight="1" x14ac:dyDescent="0.2">
      <c r="D61" s="42" t="s">
        <v>70</v>
      </c>
      <c r="E61" s="3"/>
    </row>
    <row r="62" spans="2:8" ht="14.1" customHeight="1" x14ac:dyDescent="0.2">
      <c r="D62" s="42"/>
      <c r="E62" s="3"/>
    </row>
    <row r="63" spans="2:8" ht="14.1" customHeight="1" x14ac:dyDescent="0.2">
      <c r="D63" s="3" t="s">
        <v>71</v>
      </c>
      <c r="E63" s="3" t="s">
        <v>72</v>
      </c>
      <c r="F63" s="33">
        <f>AVERAGE(C48:C57)</f>
        <v>316.05403842817555</v>
      </c>
      <c r="G63" s="5" t="s">
        <v>25</v>
      </c>
    </row>
    <row r="64" spans="2:8" ht="14.1" customHeight="1" x14ac:dyDescent="0.2">
      <c r="D64" s="3" t="s">
        <v>75</v>
      </c>
      <c r="E64" s="3" t="s">
        <v>73</v>
      </c>
      <c r="F64" s="33">
        <f>AVERAGE(E48:E57)</f>
        <v>1039.0817701748242</v>
      </c>
      <c r="G64" s="5" t="s">
        <v>25</v>
      </c>
    </row>
    <row r="65" spans="4:8" ht="14.1" customHeight="1" x14ac:dyDescent="0.2">
      <c r="D65" s="3" t="s">
        <v>76</v>
      </c>
      <c r="E65" s="3" t="s">
        <v>74</v>
      </c>
      <c r="F65" s="33">
        <f>AVERAGE(G48:G57)</f>
        <v>1355.1358086029998</v>
      </c>
      <c r="G65" s="5" t="s">
        <v>25</v>
      </c>
    </row>
    <row r="66" spans="4:8" ht="14.1" customHeight="1" x14ac:dyDescent="0.2">
      <c r="D66" s="42"/>
      <c r="E66" s="3"/>
    </row>
    <row r="67" spans="4:8" ht="14.1" customHeight="1" x14ac:dyDescent="0.2">
      <c r="D67" s="42" t="s">
        <v>80</v>
      </c>
      <c r="E67" s="35"/>
      <c r="F67" s="33"/>
    </row>
    <row r="68" spans="4:8" ht="14.1" customHeight="1" x14ac:dyDescent="0.2">
      <c r="D68" s="42"/>
      <c r="E68" s="35"/>
      <c r="F68" s="33"/>
    </row>
    <row r="69" spans="4:8" ht="14.1" customHeight="1" x14ac:dyDescent="0.2">
      <c r="D69" s="3" t="s">
        <v>77</v>
      </c>
      <c r="E69" s="3" t="s">
        <v>81</v>
      </c>
      <c r="F69" s="33">
        <f>MIN(C48:C57)</f>
        <v>273.62486614603694</v>
      </c>
      <c r="G69" s="5" t="s">
        <v>25</v>
      </c>
    </row>
    <row r="70" spans="4:8" ht="14.1" customHeight="1" x14ac:dyDescent="0.2">
      <c r="D70" s="3" t="s">
        <v>78</v>
      </c>
      <c r="E70" s="3" t="s">
        <v>82</v>
      </c>
      <c r="F70" s="33">
        <f>MIN(E48:E57)</f>
        <v>954.41584816057912</v>
      </c>
      <c r="G70" s="5" t="s">
        <v>25</v>
      </c>
    </row>
    <row r="71" spans="4:8" ht="14.1" customHeight="1" x14ac:dyDescent="0.2">
      <c r="D71" s="3" t="s">
        <v>79</v>
      </c>
      <c r="E71" s="3" t="s">
        <v>83</v>
      </c>
      <c r="F71" s="33">
        <f>MIN(G48:G57)</f>
        <v>1228.0407143066161</v>
      </c>
      <c r="G71" s="5" t="s">
        <v>25</v>
      </c>
      <c r="H71" s="5"/>
    </row>
    <row r="72" spans="4:8" ht="14.1" customHeight="1" x14ac:dyDescent="0.2"/>
    <row r="73" spans="4:8" ht="14.1" customHeight="1" x14ac:dyDescent="0.2">
      <c r="D73" s="42" t="s">
        <v>89</v>
      </c>
    </row>
    <row r="74" spans="4:8" ht="14.1" customHeight="1" x14ac:dyDescent="0.2">
      <c r="D74" s="42"/>
    </row>
    <row r="75" spans="4:8" ht="14.1" customHeight="1" x14ac:dyDescent="0.2">
      <c r="D75" s="3" t="s">
        <v>87</v>
      </c>
      <c r="E75" s="3" t="s">
        <v>74</v>
      </c>
      <c r="F75" s="33">
        <f>Rcmean/_x3</f>
        <v>1034.4548157274808</v>
      </c>
      <c r="G75" s="5" t="s">
        <v>25</v>
      </c>
    </row>
    <row r="76" spans="4:8" ht="14.1" customHeight="1" x14ac:dyDescent="0.2">
      <c r="D76" s="3" t="s">
        <v>88</v>
      </c>
      <c r="E76" s="3" t="s">
        <v>83</v>
      </c>
      <c r="F76" s="33">
        <f>Rcmin/_x4</f>
        <v>1023.3672619221801</v>
      </c>
      <c r="G76" s="5" t="s">
        <v>25</v>
      </c>
    </row>
    <row r="77" spans="4:8" ht="14.1" customHeight="1" x14ac:dyDescent="0.2">
      <c r="D77" s="3" t="s">
        <v>84</v>
      </c>
      <c r="E77" s="3" t="s">
        <v>90</v>
      </c>
      <c r="F77" s="33">
        <f>MIN(F75:F76)</f>
        <v>1023.3672619221801</v>
      </c>
      <c r="G77" s="5" t="s">
        <v>25</v>
      </c>
    </row>
    <row r="78" spans="4:8" ht="14.1" customHeight="1" x14ac:dyDescent="0.2"/>
    <row r="79" spans="4:8" ht="14.1" customHeight="1" x14ac:dyDescent="0.2">
      <c r="D79" s="42" t="s">
        <v>91</v>
      </c>
    </row>
    <row r="80" spans="4:8" ht="14.1" customHeight="1" x14ac:dyDescent="0.2">
      <c r="D80" s="42"/>
    </row>
    <row r="81" spans="4:7" ht="14.1" customHeight="1" x14ac:dyDescent="0.2">
      <c r="D81" s="3" t="s">
        <v>61</v>
      </c>
      <c r="E81" s="3" t="s">
        <v>92</v>
      </c>
      <c r="F81" s="33">
        <f>IF(Rc_k=RcmeanF,Rbmean/_x3,Rbmin/_x4)</f>
        <v>228.02072178836411</v>
      </c>
      <c r="G81" s="5" t="s">
        <v>25</v>
      </c>
    </row>
    <row r="82" spans="4:7" ht="14.1" customHeight="1" x14ac:dyDescent="0.2">
      <c r="D82" s="3" t="s">
        <v>62</v>
      </c>
      <c r="E82" s="3" t="s">
        <v>93</v>
      </c>
      <c r="F82" s="33">
        <f>IF(Rc_k=RcminF,Rsmin/_x4,Rsmean/_x3)</f>
        <v>795.34654013381601</v>
      </c>
      <c r="G82" s="5" t="s">
        <v>25</v>
      </c>
    </row>
    <row r="83" spans="4:7" ht="14.1" customHeight="1" x14ac:dyDescent="0.2"/>
    <row r="84" spans="4:7" ht="14.1" customHeight="1" x14ac:dyDescent="0.2">
      <c r="D84" s="42" t="s">
        <v>95</v>
      </c>
    </row>
    <row r="85" spans="4:7" ht="14.1" customHeight="1" x14ac:dyDescent="0.2">
      <c r="D85" s="42"/>
    </row>
    <row r="86" spans="4:7" ht="14.1" customHeight="1" x14ac:dyDescent="0.2">
      <c r="D86" s="3" t="s">
        <v>94</v>
      </c>
      <c r="E86" s="3" t="s">
        <v>98</v>
      </c>
      <c r="F86" s="33">
        <f>Rb_k/gammaB+Rs_k/gammaS</f>
        <v>787.20558609398472</v>
      </c>
      <c r="G86" s="5" t="s">
        <v>25</v>
      </c>
    </row>
    <row r="87" spans="4:7" ht="14.1" customHeight="1" x14ac:dyDescent="0.2">
      <c r="D87" s="3" t="s">
        <v>96</v>
      </c>
      <c r="E87" s="3" t="s">
        <v>97</v>
      </c>
      <c r="F87" s="9">
        <f>gammaG*Vp+gammaQ*Vv</f>
        <v>695</v>
      </c>
      <c r="G87" s="5" t="s">
        <v>25</v>
      </c>
    </row>
    <row r="88" spans="4:7" ht="14.1" customHeight="1" x14ac:dyDescent="0.2">
      <c r="D88" s="3" t="s">
        <v>32</v>
      </c>
      <c r="E88" s="35" t="s">
        <v>28</v>
      </c>
      <c r="F88" s="33">
        <f>Rd/F87</f>
        <v>1.1326699080488989</v>
      </c>
    </row>
    <row r="89" spans="4:7" ht="14.1" customHeight="1" x14ac:dyDescent="0.2">
      <c r="D89" s="3" t="s">
        <v>29</v>
      </c>
      <c r="E89" s="35" t="s">
        <v>30</v>
      </c>
      <c r="F89" s="56">
        <f>F87/Rd</f>
        <v>0.8828697512787006</v>
      </c>
    </row>
    <row r="90" spans="4:7" ht="14.1" customHeight="1" x14ac:dyDescent="0.2">
      <c r="E90" s="9" t="str">
        <f>IF(F88&gt;1,"Safe: Adequate capacity.", "Not safe: Capacity is insufficient! Redesign required.")</f>
        <v>Safe: Adequate capacity.</v>
      </c>
    </row>
    <row r="91" spans="4:7" ht="14.1" customHeight="1" x14ac:dyDescent="0.2"/>
    <row r="92" spans="4:7" ht="12.95" customHeight="1" x14ac:dyDescent="0.2"/>
    <row r="93" spans="4:7" ht="12.95" customHeight="1" x14ac:dyDescent="0.2"/>
    <row r="94" spans="4:7" ht="12.95" customHeight="1" x14ac:dyDescent="0.2"/>
    <row r="95" spans="4:7" ht="12.95" customHeight="1" x14ac:dyDescent="0.2"/>
    <row r="96" spans="4:7" ht="12.95" customHeight="1" x14ac:dyDescent="0.2"/>
    <row r="97" ht="12.95" customHeight="1" x14ac:dyDescent="0.2"/>
    <row r="98" ht="12.95" customHeight="1" x14ac:dyDescent="0.2"/>
    <row r="99" ht="12.95" customHeight="1" x14ac:dyDescent="0.2"/>
    <row r="100" ht="12.95" customHeight="1" x14ac:dyDescent="0.2"/>
    <row r="101" ht="12.95" customHeight="1" x14ac:dyDescent="0.2"/>
    <row r="102" ht="12.95" customHeight="1" x14ac:dyDescent="0.2"/>
    <row r="103" ht="12.95" customHeight="1" x14ac:dyDescent="0.2"/>
    <row r="104" ht="12.95" customHeight="1" x14ac:dyDescent="0.2"/>
    <row r="105" ht="12.95" customHeight="1" x14ac:dyDescent="0.2"/>
    <row r="106" ht="12.95" customHeight="1" x14ac:dyDescent="0.2"/>
    <row r="107" ht="12.95" customHeight="1" x14ac:dyDescent="0.2"/>
    <row r="108" ht="12.95" customHeight="1" x14ac:dyDescent="0.2"/>
    <row r="109" ht="12.95" customHeight="1" x14ac:dyDescent="0.2"/>
    <row r="110" ht="12.95" customHeight="1" x14ac:dyDescent="0.2"/>
    <row r="111" ht="12.95" customHeight="1" x14ac:dyDescent="0.2"/>
  </sheetData>
  <mergeCells count="11">
    <mergeCell ref="B7:J7"/>
    <mergeCell ref="G27:H27"/>
    <mergeCell ref="A1:C3"/>
    <mergeCell ref="D1:I1"/>
    <mergeCell ref="J1:K1"/>
    <mergeCell ref="D3:I3"/>
    <mergeCell ref="J3:K3"/>
    <mergeCell ref="A4:C6"/>
    <mergeCell ref="D5:E5"/>
    <mergeCell ref="F5:G5"/>
    <mergeCell ref="I5:J5"/>
  </mergeCells>
  <conditionalFormatting sqref="E90">
    <cfRule type="containsText" dxfId="0" priority="1" operator="containsText" text="Not Safe:">
      <formula>NOT(ISERROR(SEARCH("Not Safe:",E90)))</formula>
    </cfRule>
  </conditionalFormatting>
  <pageMargins left="0.35" right="0.25" top="0.75" bottom="0.75" header="0.3" footer="0.3"/>
  <pageSetup paperSize="9" orientation="portrait" horizontalDpi="300" verticalDpi="300" r:id="rId1"/>
  <ignoredErrors>
    <ignoredError sqref="E48:E57 G48:G57"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53</vt:i4>
      </vt:variant>
    </vt:vector>
  </HeadingPairs>
  <TitlesOfParts>
    <vt:vector size="56" baseType="lpstr">
      <vt:lpstr>Data input</vt:lpstr>
      <vt:lpstr>EC7 (DA1-1)</vt:lpstr>
      <vt:lpstr>EC7 (DA1-2)</vt:lpstr>
      <vt:lpstr>'EC7 (DA1-1)'!_x3</vt:lpstr>
      <vt:lpstr>'EC7 (DA1-2)'!_x3</vt:lpstr>
      <vt:lpstr>'EC7 (DA1-1)'!_x4</vt:lpstr>
      <vt:lpstr>'EC7 (DA1-2)'!_x4</vt:lpstr>
      <vt:lpstr>'EC7 (DA1-2)'!Ab</vt:lpstr>
      <vt:lpstr>Ab</vt:lpstr>
      <vt:lpstr>'EC7 (DA1-2)'!As</vt:lpstr>
      <vt:lpstr>As</vt:lpstr>
      <vt:lpstr>Condition</vt:lpstr>
      <vt:lpstr>D</vt:lpstr>
      <vt:lpstr>'EC7 (DA1-1)'!Fd</vt:lpstr>
      <vt:lpstr>'EC7 (DA1-2)'!Fd</vt:lpstr>
      <vt:lpstr>'EC7 (DA1-1)'!gammaB</vt:lpstr>
      <vt:lpstr>'EC7 (DA1-2)'!gammaB</vt:lpstr>
      <vt:lpstr>'EC7 (DA1-1)'!gammaG</vt:lpstr>
      <vt:lpstr>'EC7 (DA1-2)'!gammaG</vt:lpstr>
      <vt:lpstr>'EC7 (DA1-1)'!gammaQ</vt:lpstr>
      <vt:lpstr>'EC7 (DA1-2)'!gammaQ</vt:lpstr>
      <vt:lpstr>'EC7 (DA1-1)'!gammaS</vt:lpstr>
      <vt:lpstr>'EC7 (DA1-2)'!gammaS</vt:lpstr>
      <vt:lpstr>GWT</vt:lpstr>
      <vt:lpstr>L</vt:lpstr>
      <vt:lpstr>'Data input'!Print_Area</vt:lpstr>
      <vt:lpstr>'EC7 (DA1-1)'!Print_Area</vt:lpstr>
      <vt:lpstr>'EC7 (DA1-2)'!Print_Area</vt:lpstr>
      <vt:lpstr>'EC7 (DA1-1)'!Rb_k</vt:lpstr>
      <vt:lpstr>'EC7 (DA1-2)'!Rb_k</vt:lpstr>
      <vt:lpstr>'EC7 (DA1-1)'!Rbmean</vt:lpstr>
      <vt:lpstr>'EC7 (DA1-2)'!Rbmean</vt:lpstr>
      <vt:lpstr>'EC7 (DA1-1)'!Rbmin</vt:lpstr>
      <vt:lpstr>'EC7 (DA1-2)'!Rbmin</vt:lpstr>
      <vt:lpstr>'EC7 (DA1-1)'!Rc_k</vt:lpstr>
      <vt:lpstr>'EC7 (DA1-2)'!Rc_k</vt:lpstr>
      <vt:lpstr>'EC7 (DA1-1)'!Rcmean</vt:lpstr>
      <vt:lpstr>'EC7 (DA1-2)'!Rcmean</vt:lpstr>
      <vt:lpstr>'EC7 (DA1-1)'!RcmeanF</vt:lpstr>
      <vt:lpstr>'EC7 (DA1-2)'!RcmeanF</vt:lpstr>
      <vt:lpstr>'EC7 (DA1-1)'!Rcmin</vt:lpstr>
      <vt:lpstr>'EC7 (DA1-2)'!Rcmin</vt:lpstr>
      <vt:lpstr>'EC7 (DA1-1)'!RcminF</vt:lpstr>
      <vt:lpstr>'EC7 (DA1-2)'!RcminF</vt:lpstr>
      <vt:lpstr>'Data input'!Rd</vt:lpstr>
      <vt:lpstr>'EC7 (DA1-1)'!Rd</vt:lpstr>
      <vt:lpstr>'EC7 (DA1-2)'!Rd</vt:lpstr>
      <vt:lpstr>'EC7 (DA1-1)'!Rs_k</vt:lpstr>
      <vt:lpstr>'EC7 (DA1-2)'!Rs_k</vt:lpstr>
      <vt:lpstr>'EC7 (DA1-1)'!Rsmean</vt:lpstr>
      <vt:lpstr>'EC7 (DA1-2)'!Rsmean</vt:lpstr>
      <vt:lpstr>'EC7 (DA1-1)'!Rsmin</vt:lpstr>
      <vt:lpstr>'EC7 (DA1-2)'!Rsmin</vt:lpstr>
      <vt:lpstr>Type</vt:lpstr>
      <vt:lpstr>Vp</vt:lpstr>
      <vt:lpstr>Vv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Elements of Soil Mechanics, 9th Edition</dc:title>
  <dc:subject/>
  <dc:creator>Ian Smith</dc:creator>
  <cp:keywords/>
  <dc:description/>
  <cp:lastModifiedBy>Aleks Vasiljevic</cp:lastModifiedBy>
  <cp:lastPrinted>2025-11-03T11:18:51Z</cp:lastPrinted>
  <dcterms:created xsi:type="dcterms:W3CDTF">2005-09-08T15:52:27Z</dcterms:created>
  <dcterms:modified xsi:type="dcterms:W3CDTF">2025-11-03T12:36:20Z</dcterms:modified>
  <cp:category/>
</cp:coreProperties>
</file>